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C:\Dropbox (Utility)\Utility Projects\Projects\NCC\4 Working\"/>
    </mc:Choice>
  </mc:AlternateContent>
  <xr:revisionPtr revIDLastSave="0" documentId="13_ncr:1_{8B239C50-758E-4080-8636-865736A24517}" xr6:coauthVersionLast="33" xr6:coauthVersionMax="33" xr10:uidLastSave="{00000000-0000-0000-0000-000000000000}"/>
  <workbookProtection workbookAlgorithmName="SHA-512" workbookHashValue="ZtFgK4OqEwQhy/PtHqC7OdVIv+FZyQKNJpwVWuG+DZ2/uhZi8Bui7TZr6ZGSJOnVjFMze05BXCgfVUnfV7/9MQ==" workbookSaltValue="QDfRSzwUMZtRnkTHAughBg==" workbookSpinCount="100000" lockStructure="1"/>
  <bookViews>
    <workbookView xWindow="0" yWindow="0" windowWidth="19200" windowHeight="6648" tabRatio="716" xr2:uid="{00000000-000D-0000-FFFF-FFFF00000000}"/>
  </bookViews>
  <sheets>
    <sheet name="Flow chart" sheetId="4" r:id="rId1"/>
    <sheet name="Res Sub" sheetId="1" r:id="rId2"/>
    <sheet name="2. NonRes Sub" sheetId="8" state="hidden" r:id="rId3"/>
    <sheet name="Res BC" sheetId="12" r:id="rId4"/>
    <sheet name="4. NonRes BC" sheetId="9" state="hidden" r:id="rId5"/>
    <sheet name="Tables" sheetId="3" state="hidden" r:id="rId6"/>
    <sheet name="Definitions" sheetId="6" r:id="rId7"/>
    <sheet name="Res Sub-exemptions" sheetId="14" r:id="rId8"/>
  </sheets>
  <definedNames>
    <definedName name="CI_DC">Tables!$C$23</definedName>
    <definedName name="Exemptions">#REF!</definedName>
    <definedName name="FC_Excempt" localSheetId="7">Tables!#REF!</definedName>
    <definedName name="FC_Excempt">Tables!#REF!</definedName>
    <definedName name="GR_DC">Tables!$C$24</definedName>
    <definedName name="GST">Tables!$C$2</definedName>
    <definedName name="Infra_FC_BC" localSheetId="7">Tables!#REF!</definedName>
    <definedName name="Infra_FC_BC">Tables!#REF!</definedName>
    <definedName name="NonRes_BC" localSheetId="7">'Flow chart'!#REF!</definedName>
    <definedName name="NonRes_BC">'Flow chart'!#REF!</definedName>
    <definedName name="NonRes_BC_Calc">'4. NonRes BC'!$B$3</definedName>
    <definedName name="NonRes_CIGR">Tables!$C$8</definedName>
    <definedName name="NonRes_Sub_Calc">'2. NonRes Sub'!$B$3</definedName>
    <definedName name="NonRes_SW">Tables!$C$6</definedName>
    <definedName name="NonRes_Trans">Tables!$C$7</definedName>
    <definedName name="NonRes_WS">Tables!$C$4</definedName>
    <definedName name="NonRes_WW">Tables!$C$5</definedName>
    <definedName name="Pipe_Size">Tables!$C$10:$C$18</definedName>
    <definedName name="PipeSize_HUD">Tables!$C$10:$D$17</definedName>
    <definedName name="_xlnm.Print_Area" localSheetId="2">'2. NonRes Sub'!$A$1:$I$24</definedName>
    <definedName name="_xlnm.Print_Area" localSheetId="4">'4. NonRes BC'!$A$1:$I$28</definedName>
    <definedName name="_xlnm.Print_Area" localSheetId="6">Definitions!$A$1:$C$30</definedName>
    <definedName name="_xlnm.Print_Area" localSheetId="0">'Flow chart'!$A$1:$S$48</definedName>
    <definedName name="_xlnm.Print_Area" localSheetId="3">'Res BC'!$A$1:$I$42</definedName>
    <definedName name="_xlnm.Print_Area" localSheetId="1">'Res Sub'!$A$1:$I$38</definedName>
    <definedName name="_xlnm.Print_Area" localSheetId="7">'Res Sub-exemptions'!$A$1:$I$38</definedName>
    <definedName name="_xlnm.Print_Area" localSheetId="5">Tables!$A$1:$F$27</definedName>
    <definedName name="Res_BC">'Flow chart'!$B$35:$R$47</definedName>
    <definedName name="Res_BC_Calc">'Res BC'!$B$3</definedName>
    <definedName name="Res_BC_pre04" localSheetId="7">#REF!</definedName>
    <definedName name="Res_BC_pre04">#REF!</definedName>
    <definedName name="Res_BC_ResExt_FConly" localSheetId="7">#REF!</definedName>
    <definedName name="Res_BC_ResExt_FConly">#REF!</definedName>
    <definedName name="Res_BC_ResFConly" localSheetId="7">#REF!</definedName>
    <definedName name="Res_BC_ResFConly">#REF!</definedName>
    <definedName name="Res_Sub_Calc" localSheetId="7">'Res Sub-exemptions'!$B$3</definedName>
    <definedName name="Res_Sub_Calc">'Res Sub'!$B$3</definedName>
    <definedName name="Reserves_FC_BC" localSheetId="7">Tables!#REF!</definedName>
    <definedName name="Reserves_FC_BC">Tables!#REF!</definedName>
    <definedName name="Reserves_FC_Sub" localSheetId="7">Tables!#REF!</definedName>
    <definedName name="Reserves_FC_Sub">Tables!#REF!</definedName>
    <definedName name="ResorNonRes_BC_Calc_old" localSheetId="7">#REF!</definedName>
    <definedName name="ResorNonRes_BC_Calc_old">#REF!</definedName>
    <definedName name="Sec_2.4">Definitions!$B$2</definedName>
    <definedName name="Sec5.3.2">Definitions!$B$19</definedName>
    <definedName name="Subdivision_consent">'Flow chart'!$B$22:$R$33</definedName>
    <definedName name="SW_DC">Tables!$C$19</definedName>
    <definedName name="SW_LID">Definitions!$B$35:$C$38</definedName>
    <definedName name="SW_LID_Names">Definitions!$B$35:$B$38</definedName>
    <definedName name="Total_DC">Tables!$C$25</definedName>
    <definedName name="Trans_DC">Tables!$C$22</definedName>
    <definedName name="WS_DC">Tables!$C$21</definedName>
    <definedName name="WW_DC">Tables!$C$20</definedName>
  </definedNames>
  <calcPr calcId="179017" iterateCount="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12" l="1"/>
  <c r="J16" i="12"/>
  <c r="E35" i="1" l="1"/>
  <c r="F20" i="1"/>
  <c r="E15" i="1"/>
  <c r="F20" i="14"/>
  <c r="C13" i="14"/>
  <c r="C35" i="1"/>
  <c r="C34" i="1"/>
  <c r="C33" i="1"/>
  <c r="C32" i="1"/>
  <c r="C31" i="1"/>
  <c r="C30" i="1"/>
  <c r="C29" i="1"/>
  <c r="E16" i="1"/>
  <c r="E14" i="1"/>
  <c r="E13" i="1"/>
  <c r="D5" i="12" l="1"/>
  <c r="H5" i="14"/>
  <c r="D5" i="14"/>
  <c r="D5" i="1"/>
  <c r="C17" i="14" l="1"/>
  <c r="C16" i="14"/>
  <c r="C15" i="14"/>
  <c r="C14" i="14"/>
  <c r="C32" i="14" l="1"/>
  <c r="C31" i="14"/>
  <c r="C34" i="14"/>
  <c r="D29" i="14"/>
  <c r="C30" i="14"/>
  <c r="C29" i="14"/>
  <c r="C33" i="14"/>
  <c r="C21" i="14"/>
  <c r="C35" i="14"/>
  <c r="F19" i="14"/>
  <c r="C19" i="14"/>
  <c r="C23" i="14" s="1"/>
  <c r="C22" i="14"/>
  <c r="E34" i="14"/>
  <c r="E29" i="14"/>
  <c r="D30" i="14"/>
  <c r="E30" i="14"/>
  <c r="D31" i="14"/>
  <c r="E31" i="14"/>
  <c r="D32" i="14"/>
  <c r="E32" i="14"/>
  <c r="D33" i="14"/>
  <c r="E33" i="14"/>
  <c r="G11" i="14"/>
  <c r="D11" i="14"/>
  <c r="D10" i="14"/>
  <c r="D9" i="14"/>
  <c r="I8" i="14"/>
  <c r="D7" i="14"/>
  <c r="E19" i="12"/>
  <c r="E18" i="12"/>
  <c r="D38" i="12"/>
  <c r="C33" i="12"/>
  <c r="E38" i="12"/>
  <c r="D39" i="12"/>
  <c r="C23" i="12"/>
  <c r="F19" i="1"/>
  <c r="C19" i="1"/>
  <c r="C22" i="1"/>
  <c r="E34" i="1"/>
  <c r="F16" i="12"/>
  <c r="C18" i="9"/>
  <c r="D18" i="9"/>
  <c r="F18" i="9" s="1"/>
  <c r="I5" i="9"/>
  <c r="I8" i="12"/>
  <c r="E15" i="8"/>
  <c r="D15" i="8"/>
  <c r="F15" i="8" s="1"/>
  <c r="E29" i="1"/>
  <c r="G5" i="12"/>
  <c r="G11" i="1"/>
  <c r="G5" i="1"/>
  <c r="D11" i="1"/>
  <c r="E20" i="8"/>
  <c r="F20" i="8"/>
  <c r="E19" i="8"/>
  <c r="F19" i="8"/>
  <c r="C30" i="9"/>
  <c r="C20" i="9"/>
  <c r="I6" i="8"/>
  <c r="I8" i="1"/>
  <c r="D7" i="1"/>
  <c r="E14" i="12"/>
  <c r="E13" i="12"/>
  <c r="C19" i="9"/>
  <c r="D36" i="12"/>
  <c r="D35" i="12"/>
  <c r="D37" i="12"/>
  <c r="D34" i="12"/>
  <c r="C20" i="8"/>
  <c r="C19" i="8"/>
  <c r="D12" i="8"/>
  <c r="C23" i="9"/>
  <c r="C22" i="9"/>
  <c r="E22" i="9"/>
  <c r="F22" i="9"/>
  <c r="E15" i="9"/>
  <c r="E23" i="9"/>
  <c r="C18" i="8"/>
  <c r="E20" i="12"/>
  <c r="E37" i="12"/>
  <c r="E17" i="1"/>
  <c r="E33" i="1"/>
  <c r="C25" i="3"/>
  <c r="F23" i="9"/>
  <c r="G23" i="9"/>
  <c r="H23" i="9"/>
  <c r="G22" i="9"/>
  <c r="H22" i="9"/>
  <c r="G20" i="8"/>
  <c r="G19" i="8"/>
  <c r="H19" i="8"/>
  <c r="H20" i="8"/>
  <c r="F40" i="12"/>
  <c r="E30" i="1"/>
  <c r="E31" i="1"/>
  <c r="E32" i="1"/>
  <c r="E16" i="8"/>
  <c r="F16" i="8"/>
  <c r="E17" i="8"/>
  <c r="C17" i="8"/>
  <c r="F17" i="8"/>
  <c r="E18" i="8"/>
  <c r="F18" i="8"/>
  <c r="E10" i="9"/>
  <c r="E11" i="9"/>
  <c r="E12" i="9"/>
  <c r="D11" i="8"/>
  <c r="E36" i="12"/>
  <c r="E35" i="12"/>
  <c r="E34" i="12"/>
  <c r="E33" i="12"/>
  <c r="E21" i="9"/>
  <c r="E20" i="9"/>
  <c r="F20" i="9"/>
  <c r="E19" i="9"/>
  <c r="F19" i="9"/>
  <c r="E18" i="9"/>
  <c r="E12" i="12"/>
  <c r="D10" i="12"/>
  <c r="D9" i="12"/>
  <c r="D7" i="12"/>
  <c r="E13" i="9"/>
  <c r="C21" i="9"/>
  <c r="D7" i="9"/>
  <c r="D6" i="9"/>
  <c r="D4" i="9"/>
  <c r="C16" i="8"/>
  <c r="C15" i="8"/>
  <c r="D10" i="8"/>
  <c r="D8" i="8"/>
  <c r="D7" i="8"/>
  <c r="D5" i="8"/>
  <c r="D10" i="1"/>
  <c r="D9" i="1"/>
  <c r="F21" i="9"/>
  <c r="G21" i="9"/>
  <c r="H21" i="9"/>
  <c r="E23" i="8"/>
  <c r="E26" i="9"/>
  <c r="G17" i="8"/>
  <c r="H17" i="8"/>
  <c r="G19" i="9"/>
  <c r="H19" i="9"/>
  <c r="G20" i="9"/>
  <c r="H20" i="9"/>
  <c r="G18" i="8"/>
  <c r="H18" i="8"/>
  <c r="G16" i="8"/>
  <c r="H16" i="8"/>
  <c r="G18" i="9" l="1"/>
  <c r="G26" i="9" s="1"/>
  <c r="F26" i="9"/>
  <c r="G15" i="8"/>
  <c r="G23" i="8" s="1"/>
  <c r="F23" i="8"/>
  <c r="F29" i="14"/>
  <c r="G29" i="14" s="1"/>
  <c r="H29" i="14" s="1"/>
  <c r="C23" i="1"/>
  <c r="C24" i="1" s="1"/>
  <c r="C25" i="1" s="1"/>
  <c r="C21" i="1"/>
  <c r="C24" i="14"/>
  <c r="C25" i="14" s="1"/>
  <c r="F32" i="1"/>
  <c r="G32" i="1" s="1"/>
  <c r="F33" i="1"/>
  <c r="G33" i="1" s="1"/>
  <c r="H33" i="1" s="1"/>
  <c r="F30" i="1"/>
  <c r="G30" i="1" s="1"/>
  <c r="H30" i="1" s="1"/>
  <c r="F29" i="1"/>
  <c r="G29" i="1" s="1"/>
  <c r="F31" i="1"/>
  <c r="F30" i="14"/>
  <c r="G30" i="14" s="1"/>
  <c r="F31" i="14"/>
  <c r="G31" i="14" s="1"/>
  <c r="H31" i="14" s="1"/>
  <c r="F33" i="14"/>
  <c r="G33" i="14" s="1"/>
  <c r="F32" i="14"/>
  <c r="G32" i="14" s="1"/>
  <c r="H32" i="14" s="1"/>
  <c r="D35" i="14"/>
  <c r="D33" i="12"/>
  <c r="F33" i="12" s="1"/>
  <c r="C27" i="12"/>
  <c r="C28" i="12" s="1"/>
  <c r="C37" i="12"/>
  <c r="F37" i="12" s="1"/>
  <c r="C35" i="12"/>
  <c r="F35" i="12" s="1"/>
  <c r="C25" i="12"/>
  <c r="C36" i="12"/>
  <c r="F36" i="12" s="1"/>
  <c r="C39" i="12"/>
  <c r="C38" i="12"/>
  <c r="F38" i="12" s="1"/>
  <c r="C34" i="12"/>
  <c r="F34" i="12" s="1"/>
  <c r="C29" i="12" l="1"/>
  <c r="C30" i="12" s="1"/>
  <c r="H15" i="8"/>
  <c r="H23" i="8" s="1"/>
  <c r="H18" i="9"/>
  <c r="H26" i="9" s="1"/>
  <c r="F36" i="14"/>
  <c r="C26" i="14"/>
  <c r="E35" i="14"/>
  <c r="F35" i="14" s="1"/>
  <c r="E37" i="1"/>
  <c r="C26" i="1"/>
  <c r="H29" i="1"/>
  <c r="F34" i="1"/>
  <c r="G34" i="1" s="1"/>
  <c r="H34" i="1" s="1"/>
  <c r="F36" i="1"/>
  <c r="H32" i="1"/>
  <c r="G31" i="1"/>
  <c r="H31" i="1" s="1"/>
  <c r="H33" i="14"/>
  <c r="D34" i="14"/>
  <c r="F34" i="14" s="1"/>
  <c r="G34" i="14" s="1"/>
  <c r="H34" i="14" s="1"/>
  <c r="H30" i="14"/>
  <c r="G33" i="12"/>
  <c r="G38" i="12"/>
  <c r="H38" i="12" s="1"/>
  <c r="G37" i="12"/>
  <c r="H37" i="12" s="1"/>
  <c r="G34" i="12"/>
  <c r="H34" i="12" s="1"/>
  <c r="G36" i="12"/>
  <c r="H36" i="12" s="1"/>
  <c r="G35" i="12"/>
  <c r="H35" i="12" s="1"/>
  <c r="E39" i="12" l="1"/>
  <c r="E41" i="12" s="1"/>
  <c r="F35" i="1"/>
  <c r="F37" i="1" s="1"/>
  <c r="E37" i="14"/>
  <c r="B38" i="14"/>
  <c r="G35" i="14"/>
  <c r="F37" i="14"/>
  <c r="H33" i="12"/>
  <c r="F39" i="12" l="1"/>
  <c r="G39" i="12" s="1"/>
  <c r="G41" i="12" s="1"/>
  <c r="G35" i="1"/>
  <c r="G37" i="1" s="1"/>
  <c r="B38" i="1"/>
  <c r="H35" i="14"/>
  <c r="H37" i="14" s="1"/>
  <c r="G37" i="14"/>
  <c r="B42" i="12" l="1"/>
  <c r="F41" i="12"/>
  <c r="H35" i="1"/>
  <c r="H37" i="1" s="1"/>
  <c r="H39" i="12"/>
  <c r="H41" i="12" s="1"/>
</calcChain>
</file>

<file path=xl/sharedStrings.xml><?xml version="1.0" encoding="utf-8"?>
<sst xmlns="http://schemas.openxmlformats.org/spreadsheetml/2006/main" count="318" uniqueCount="147">
  <si>
    <t>Yes</t>
  </si>
  <si>
    <t>No</t>
  </si>
  <si>
    <t>Connecting to NCC Water Supply?</t>
  </si>
  <si>
    <t>Connecting to NCC Wastewater network?</t>
  </si>
  <si>
    <t>Utilising NCC Stormwater network?</t>
  </si>
  <si>
    <t>RESIDENTIAL</t>
  </si>
  <si>
    <t>NON-RESIDENTIAL</t>
  </si>
  <si>
    <t>Is the development within the City Centre Zone?</t>
  </si>
  <si>
    <t>Activity</t>
  </si>
  <si>
    <t>GST</t>
  </si>
  <si>
    <t>Water Supply development contribution:</t>
  </si>
  <si>
    <t>Wastewater development contribution:</t>
  </si>
  <si>
    <t>Stormwater development contribution:</t>
  </si>
  <si>
    <t>Total Contributions:</t>
  </si>
  <si>
    <t>Transportation development contribution:</t>
  </si>
  <si>
    <t>Development Contribution per HUD ($)</t>
  </si>
  <si>
    <t>Additional Demand (HUD)</t>
  </si>
  <si>
    <t xml:space="preserve">                                                                                                               </t>
  </si>
  <si>
    <t>Subdivision consent flow chart</t>
  </si>
  <si>
    <t>Notes:</t>
  </si>
  <si>
    <t>Please select appropriate application type:</t>
  </si>
  <si>
    <t>Residential Subdivision consent</t>
  </si>
  <si>
    <t>Non-Residential Subdivision consent</t>
  </si>
  <si>
    <t>Water Supply connection pipe size</t>
  </si>
  <si>
    <t>Total Contribution 
(Excl GST)</t>
  </si>
  <si>
    <t>Total Contribution 
(Incl GST)</t>
  </si>
  <si>
    <t>Non-res Water Supply</t>
  </si>
  <si>
    <t>mm pipe</t>
  </si>
  <si>
    <t>Non-res Wastewater</t>
  </si>
  <si>
    <t>Non-res ISA</t>
  </si>
  <si>
    <t>Non-Res Car parks</t>
  </si>
  <si>
    <t>pans</t>
  </si>
  <si>
    <t>m2</t>
  </si>
  <si>
    <t>car parks</t>
  </si>
  <si>
    <t>Proposed Water Supply connection if greater than 20mm</t>
  </si>
  <si>
    <t>Pipe size</t>
  </si>
  <si>
    <t>HUD</t>
  </si>
  <si>
    <t>The figures entered here should only be the additional titles created by the subdivision. For example: 
  *  if an existing title is being subdivided into four titles, the 'Proposed Number of Non-Residential titles' would just be 3 (i.e. the additional 3 titles),</t>
  </si>
  <si>
    <t>Wastewater - No. of Pans</t>
  </si>
  <si>
    <t>Impermeable service area post development (ISA)</t>
  </si>
  <si>
    <t>Pre-development</t>
  </si>
  <si>
    <t>Post-development</t>
  </si>
  <si>
    <t>Non-Residential Building consent</t>
  </si>
  <si>
    <t>n/a</t>
  </si>
  <si>
    <t>Residential Building consent</t>
  </si>
  <si>
    <t>Proposed No. of 1 bedroom residential units</t>
  </si>
  <si>
    <t>Proposed No. of 2 bedroom residential units</t>
  </si>
  <si>
    <t>Proposed No. of 3 or more bedroom residential units</t>
  </si>
  <si>
    <t xml:space="preserve">The figures entered here should only be the additional residential units being built in addition to the existing residential unit or to the 1 HUD permitted under the subdivision. </t>
  </si>
  <si>
    <t>SW DC</t>
  </si>
  <si>
    <t>WW DC</t>
  </si>
  <si>
    <t>WS DC</t>
  </si>
  <si>
    <t>Trans DC</t>
  </si>
  <si>
    <t>Total DC</t>
  </si>
  <si>
    <t>Guidance</t>
  </si>
  <si>
    <t>Each additional non-residential title shall pay 1 HUD for each activity at subdivision stage. In addition, non-residential developments that create additional demand shall be converted to HUDs at building consent stage based on:</t>
  </si>
  <si>
    <t>• Water Supply – the increase in pipe size from the existing shall be used to calculate the HUD.</t>
  </si>
  <si>
    <t>• Wastewater – the greater of the number of pans in addition to existing, where each two additional pans equates to 1 HUD, or the increase in water pipe size from the existing.</t>
  </si>
  <si>
    <t>The conversion table for both water and wastewater is shown below:</t>
  </si>
  <si>
    <r>
      <t>• Stormwater –impermeable surface area in addition to the existing shall be converted to HUDs based on 316m</t>
    </r>
    <r>
      <rPr>
        <vertAlign val="superscript"/>
        <sz val="11"/>
        <color theme="1"/>
        <rFont val="Calibri"/>
        <family val="2"/>
        <scheme val="minor"/>
      </rPr>
      <t>2</t>
    </r>
    <r>
      <rPr>
        <sz val="11"/>
        <color theme="1"/>
        <rFont val="Calibri"/>
        <family val="2"/>
        <scheme val="minor"/>
      </rPr>
      <t xml:space="preserve"> per HUD.</t>
    </r>
  </si>
  <si>
    <r>
      <t xml:space="preserve">Wastewater development contribution: </t>
    </r>
    <r>
      <rPr>
        <vertAlign val="superscript"/>
        <sz val="10"/>
        <rFont val="Arial"/>
        <family val="2"/>
      </rPr>
      <t>1</t>
    </r>
  </si>
  <si>
    <t>1 - Wastewater – the greater of the number of pans in addition to existing, where each two additional pans equates to 1 HUD, or the increase in water pipe size from the existing.</t>
  </si>
  <si>
    <t>Number of car parks required</t>
  </si>
  <si>
    <t>Disclaimer</t>
  </si>
  <si>
    <t>Step 3: Input required fields and view estimate of all applicable contributions. Use the blue instructions to guide you through the inputs required.</t>
  </si>
  <si>
    <t>For more complex multiple land use developments please contact NCC staff.</t>
  </si>
  <si>
    <r>
      <t xml:space="preserve">Step 1 : Select application type from below list - click the </t>
    </r>
    <r>
      <rPr>
        <u/>
        <sz val="10"/>
        <color theme="4"/>
        <rFont val="Arial"/>
        <family val="2"/>
      </rPr>
      <t>hyperlink</t>
    </r>
    <r>
      <rPr>
        <sz val="10"/>
        <color theme="1"/>
        <rFont val="Arial"/>
        <family val="2"/>
      </rPr>
      <t xml:space="preserve"> to take you to the appropriate flow chart.</t>
    </r>
  </si>
  <si>
    <t>Step 2: Follow the appropriate flow path to specify the assessment method and appropriate policy - click the green end box to take you to an input tab.</t>
  </si>
  <si>
    <t>password to unprotect tabs is contained in A1435781</t>
  </si>
  <si>
    <t>yes</t>
  </si>
  <si>
    <t>Community Infrastructure development contribution:</t>
  </si>
  <si>
    <t>General Reserves development contribution:</t>
  </si>
  <si>
    <t>Neighbourhood Reserves development contribution:</t>
  </si>
  <si>
    <t>CI DC</t>
  </si>
  <si>
    <t>GR DC</t>
  </si>
  <si>
    <t>Land Value</t>
  </si>
  <si>
    <t>7.5% cap</t>
  </si>
  <si>
    <t>Cap applied</t>
  </si>
  <si>
    <r>
      <t>20m</t>
    </r>
    <r>
      <rPr>
        <vertAlign val="superscript"/>
        <sz val="10"/>
        <rFont val="Arial"/>
        <family val="2"/>
      </rPr>
      <t>2</t>
    </r>
    <r>
      <rPr>
        <sz val="10"/>
        <rFont val="Arial"/>
        <family val="2"/>
      </rPr>
      <t xml:space="preserve"> cap</t>
    </r>
  </si>
  <si>
    <r>
      <t>per m</t>
    </r>
    <r>
      <rPr>
        <vertAlign val="superscript"/>
        <sz val="10"/>
        <color theme="4"/>
        <rFont val="Arial"/>
        <family val="2"/>
      </rPr>
      <t>2</t>
    </r>
  </si>
  <si>
    <t>Neighbourhood land required</t>
  </si>
  <si>
    <r>
      <t>m</t>
    </r>
    <r>
      <rPr>
        <vertAlign val="superscript"/>
        <sz val="10"/>
        <color theme="4"/>
        <rFont val="Arial"/>
        <family val="2"/>
      </rPr>
      <t>2</t>
    </r>
  </si>
  <si>
    <r>
      <t>m</t>
    </r>
    <r>
      <rPr>
        <vertAlign val="superscript"/>
        <sz val="10"/>
        <color theme="4"/>
        <rFont val="Arial"/>
        <family val="2"/>
      </rPr>
      <t>2</t>
    </r>
    <r>
      <rPr>
        <sz val="10"/>
        <color theme="4"/>
        <rFont val="Arial"/>
        <family val="2"/>
      </rPr>
      <t xml:space="preserve"> per HUD</t>
    </r>
  </si>
  <si>
    <t>Neighbourhood reserves development contribution</t>
  </si>
  <si>
    <t>Cap less General Reserves contribution</t>
  </si>
  <si>
    <t>Neighbourhood Reserves Land provided</t>
  </si>
  <si>
    <t>Provide Neighbourhood Reserve contribution as land or cash</t>
  </si>
  <si>
    <t>Land</t>
  </si>
  <si>
    <t>Cash</t>
  </si>
  <si>
    <r>
      <t>Total Allotment Size (m</t>
    </r>
    <r>
      <rPr>
        <vertAlign val="superscript"/>
        <sz val="10"/>
        <rFont val="Arial"/>
        <family val="2"/>
      </rPr>
      <t>2</t>
    </r>
    <r>
      <rPr>
        <sz val="10"/>
        <rFont val="Arial"/>
        <family val="2"/>
      </rPr>
      <t>)</t>
    </r>
  </si>
  <si>
    <t>Total HUDs</t>
  </si>
  <si>
    <t>Non-Res CI_GR</t>
  </si>
  <si>
    <t>accomm units per HUD</t>
  </si>
  <si>
    <t>Is non-residential development an accommodation development?</t>
  </si>
  <si>
    <t>• Transportation - The number of car parks shall be used as a proxy to quantify the additional demand created by a non-residential development, i.e. the more car parks, the higher the increase in demand. The standard approach defined below shall be applied to all developments in the city-wide catchment, regardless of the actual car parking requirements of the consent conditions. A development not required to provide car parks (e.g. in the city centre) will still be assessed for a Transportation contribution under the standard approach because council consider that regardless of the car parking being on-site or off-site, all non-residential development will create additional demand on the transportation network.
The number of car parks for all non-residential developments will be calculated under the formula set out in Table 10.3.1 in Appendix 10 of the NRMP based on the development type (e.g. commercial activity, industrial activity etc) and size. The number of car parks shall be converted to HUDs based on 4 car parks per HUD, e.g. 6 car parks = 1.5 HUD.</t>
  </si>
  <si>
    <t>• General Reserves and Community Infrastructure – 0.5 HUD per accommodation unit for Accommodation developments (considered “residential” for the purpose of assessing reserve land contributions).</t>
  </si>
  <si>
    <t>• Neighbourhood reserve land – not applicable.</t>
  </si>
  <si>
    <t>Category 1: Development where no services overlay applies. (See Glossary for definition of a “service overlay.”)
Category 2: Development where a services overlay is currently in place, but the existing constraints relating to council provided infrastructure (to the development boundary at the bottom of the catchment) will be removed by works planned in the 2018-2028 LTP.
Category 3: Development where a services overlay is in place, and where the existing constraints relating to council provided infrastructure are not planned to be fully removed by works planned in the 2018-2028 LTP.</t>
  </si>
  <si>
    <t>Section 3.4 Development Areas</t>
  </si>
  <si>
    <r>
      <t>Note: If Building Consent is for a New Build, on a Vacant Title, Check DCs paid as part of the subdivision Resource Consent. Generally, Infrastructure Pre-Development cells should be populated so they equate to 1 HUD. That is: Stormwater - 316m</t>
    </r>
    <r>
      <rPr>
        <i/>
        <vertAlign val="superscript"/>
        <sz val="11"/>
        <color theme="1"/>
        <rFont val="Calibri"/>
        <family val="2"/>
        <scheme val="minor"/>
      </rPr>
      <t>2</t>
    </r>
    <r>
      <rPr>
        <i/>
        <sz val="11"/>
        <color theme="1"/>
        <rFont val="Calibri"/>
        <family val="2"/>
        <scheme val="minor"/>
      </rPr>
      <t>;    Wastewater - 2 Pans;    Water Supply - 20mm Connection;    Transport - 4 Parking Spaces, Community Infrastructure &amp; General Reserves 2 accomm units</t>
    </r>
  </si>
  <si>
    <t>Click here to see Section 7.6.2 of the policy on DCs</t>
  </si>
  <si>
    <t>stormwater will not discharge into a Council managed system,</t>
  </si>
  <si>
    <t xml:space="preserve">the stormwater will discharge into a Council managed system, where primary stormwater flows are managed to pre-development levels; </t>
  </si>
  <si>
    <t xml:space="preserve">SW - low impact development - Where, following not less than a one in 15 years storm event, </t>
  </si>
  <si>
    <t>Number of bedrooms added to an existing residential unit</t>
  </si>
  <si>
    <t>enter 0 if there is no pipe pre-development</t>
  </si>
  <si>
    <t>Valuation of allotments ($) - including GST, if any</t>
  </si>
  <si>
    <t>Exemption (HUD)</t>
  </si>
  <si>
    <t>No. of applicable lots</t>
  </si>
  <si>
    <t>Proposed No. of Non-Residential lots</t>
  </si>
  <si>
    <t>The development contributions calculated in this tool are for estimation purposes only. The results of this estimation are not official and are not binding in any way. The calculations and development contributions ($/HUD) are based on the NCC Policy on Development Contributions 2018. This tool was built for simple developments. Complicated developments with multiple land use categories may need to be assessed in stages. Please contact Nelson City Council Customer Services with any queries on (03) 546 0200.</t>
  </si>
  <si>
    <r>
      <rPr>
        <sz val="12"/>
        <color theme="1"/>
        <rFont val="Arial"/>
        <family val="2"/>
      </rPr>
      <t>B</t>
    </r>
    <r>
      <rPr>
        <b/>
        <sz val="12"/>
        <color theme="1"/>
        <rFont val="Arial"/>
        <family val="2"/>
      </rPr>
      <t>uilding consent flow chart</t>
    </r>
  </si>
  <si>
    <t>NCC POLICY ON DEVELOPMENT CONTRIBUTIONS 2018 - ESTIMATION TOOL</t>
  </si>
  <si>
    <t>Does the Brownfield Intensification exemption of reserve land apply?</t>
  </si>
  <si>
    <t>Number of accommodation units (hotel, motel, BnB, etc)</t>
  </si>
  <si>
    <t>Accommodation units - “…units, apartments, rooms in 1 or more buildings, or cabins or sites in camping grounds and holiday parks, for the purpose of providing overnight, temporary, or rental accommodation"</t>
  </si>
  <si>
    <r>
      <t xml:space="preserve">see Section </t>
    </r>
    <r>
      <rPr>
        <sz val="10"/>
        <color rgb="FFFF0000"/>
        <rFont val="Arial"/>
        <family val="2"/>
      </rPr>
      <t>7.6.2</t>
    </r>
    <r>
      <rPr>
        <sz val="10"/>
        <rFont val="Arial"/>
        <family val="2"/>
      </rPr>
      <t xml:space="preserve"> of the 2018/19 Policy on DCs</t>
    </r>
  </si>
  <si>
    <t>No. of applicable HUDs</t>
  </si>
  <si>
    <t xml:space="preserve">i. Where, following events equal to or greater than a one in 15 years storm event, </t>
  </si>
  <si>
    <t>4.3.3 Low infrastructure impact developments
(a) Stormwater: Council recognises that some developments control the additional stormwater they produce and consequently, have a reduced impact on Council’s network. Where this impact is permanent and won’t become redundant as a result of Council works in the future, Council may reduce development contributions for stormwater. In exercising this discretion, Council will be guided by the following:
i. Where, following events equal to or greater than a one in 15 years storm event, stormwater will not discharge into a Council managed system, stormwater development contributions may be reduced by up to 50%;
ii. Where, following events equal to or greater than a one in 15 years storm event, the stormwater will discharge into a Council managed system, stormwater development contributions: may be reduced by up to:
1. 25% where primary stormwater flows are managed to pre-development levels; 
2. 50% where both primary and secondary stormwater flows are managed to pre-development levels</t>
  </si>
  <si>
    <t>the stormwater will discharge into a Council managed system, where both primary and secondary stormwater flows are managed to pre-development levels</t>
  </si>
  <si>
    <t xml:space="preserve">4.3.2 Brownfield Intensification – Reserve Contribution
Council will exempt a residential subdivision from 25% of the amount which would otherwise be payable as reserve contribution where the subdivision:
(i) Has an underlying title of 2000m2 or less; and
(ii) Creates lots of 300m2 or less; and
(iii) Is located in the Residential Zone; and
(iv) Is not located in the Services Overlay.
</t>
  </si>
  <si>
    <t>no low impact - regular SW disposal</t>
  </si>
  <si>
    <t>City centre exemption</t>
  </si>
  <si>
    <t>Brownfield exemption</t>
  </si>
  <si>
    <t>Subdivision consent</t>
  </si>
  <si>
    <t>Building consent</t>
  </si>
  <si>
    <t>NCC Policy on Development Contributions 2018</t>
  </si>
  <si>
    <t>RESIDENTIAL - with exemptions</t>
  </si>
  <si>
    <t>Exemption</t>
  </si>
  <si>
    <t>Council does have the ability to levy development contributions at service connection, however they will typically be levied at the time of subdivision or building consent.</t>
  </si>
  <si>
    <t>The tool assumes all developments will connect to the Water Supply, Wastewater and Stormwater networks - this can be amended on the exemptions tab discussed in the following point.</t>
  </si>
  <si>
    <t>Click here to assess a residential building consent under the provisions of the 2018 Policy on DCs.</t>
  </si>
  <si>
    <t>Click here to assess a residential subdivision under the 2018 Policy on DCs.</t>
  </si>
  <si>
    <t>These inputs are entered in the Res Sub tab</t>
  </si>
  <si>
    <t>Number of bedrooms pre and post development - only applies if adding bedrooms to a 1 or 2 bedrrom unit</t>
  </si>
  <si>
    <t>If you think this development may qualify for a Low Infrastructure Impact, Brownfields Intensification or a City Centre exemption, then please clieck the Exemption link - cell F38</t>
  </si>
  <si>
    <t>Exemptions are not included in the first two tabs of this tool - if you think a subdivision may qualify for a Low Infrastructure Impact, Brownfields Intensification or a City Centre exemption, then please follow the link below the Res Sub summary table. For exemptions relating to building consents, please contact NCC on the above number.</t>
  </si>
  <si>
    <t>Click here to see Section 7.3.2 of the policy on DCs</t>
  </si>
  <si>
    <t>Section 7.3.2 Non-residential</t>
  </si>
  <si>
    <r>
      <t>Total area of new residential lots (m</t>
    </r>
    <r>
      <rPr>
        <vertAlign val="superscript"/>
        <sz val="10"/>
        <rFont val="Arial"/>
        <family val="2"/>
      </rPr>
      <t>2</t>
    </r>
    <r>
      <rPr>
        <sz val="10"/>
        <rFont val="Arial"/>
        <family val="2"/>
      </rPr>
      <t>) (this excludes the area for roading, reserve, services and any other non-residential land)</t>
    </r>
  </si>
  <si>
    <t xml:space="preserve">Number of residential lots pre-development </t>
  </si>
  <si>
    <t>Number of residential lots post-development</t>
  </si>
  <si>
    <t>Table 3 : Development areas catered for under this policy                                                                                     Table 4 : Development areas not fully catered for under this policy</t>
  </si>
  <si>
    <t xml:space="preserve">9.1 Maps - Map 1 - Development areas </t>
  </si>
  <si>
    <t>Click here to see Section 3.4 of 2018/19 Policy on DC and development area maps</t>
  </si>
  <si>
    <t>Valuation of additional lots ($) - including GST, if 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</si>
</sst>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44" formatCode="_-&quot;$&quot;* #,##0.00_-;\-&quot;$&quot;* #,##0.00_-;_-&quot;$&quot;* &quot;-&quot;??_-;_-@_-"/>
    <numFmt numFmtId="43" formatCode="_-* #,##0.00_-;\-* #,##0.00_-;_-* &quot;-&quot;??_-;_-@_-"/>
    <numFmt numFmtId="164" formatCode="0.0%"/>
    <numFmt numFmtId="165" formatCode="#,##0_ ;\-#,##0\ "/>
    <numFmt numFmtId="166" formatCode="_-* #,##0_-;\-* #,##0_-;_-* &quot;-&quot;??_-;_-@_-"/>
    <numFmt numFmtId="167" formatCode="&quot;$&quot;#,##0"/>
    <numFmt numFmtId="168" formatCode="&quot;$&quot;#,##0.0"/>
  </numFmts>
  <fonts count="40" x14ac:knownFonts="1">
    <font>
      <sz val="11"/>
      <color theme="1"/>
      <name val="Calibri"/>
      <family val="2"/>
      <scheme val="minor"/>
    </font>
    <font>
      <sz val="11"/>
      <color rgb="FF3F3F76"/>
      <name val="Calibri"/>
      <family val="2"/>
      <scheme val="minor"/>
    </font>
    <font>
      <b/>
      <sz val="11"/>
      <color theme="1"/>
      <name val="Calibri"/>
      <family val="2"/>
      <scheme val="minor"/>
    </font>
    <font>
      <b/>
      <sz val="11"/>
      <name val="Arial"/>
      <family val="2"/>
    </font>
    <font>
      <b/>
      <sz val="10"/>
      <name val="Arial"/>
      <family val="2"/>
    </font>
    <font>
      <sz val="10"/>
      <color rgb="FF3F3F76"/>
      <name val="Arial"/>
      <family val="2"/>
    </font>
    <font>
      <sz val="10"/>
      <name val="Arial"/>
      <family val="2"/>
    </font>
    <font>
      <b/>
      <u/>
      <sz val="10"/>
      <name val="Arial"/>
      <family val="2"/>
    </font>
    <font>
      <sz val="11"/>
      <color theme="1"/>
      <name val="Calibri"/>
      <family val="2"/>
      <scheme val="minor"/>
    </font>
    <font>
      <b/>
      <sz val="11"/>
      <color rgb="FF3F3F3F"/>
      <name val="Calibri"/>
      <family val="2"/>
      <scheme val="minor"/>
    </font>
    <font>
      <sz val="10"/>
      <color theme="3"/>
      <name val="Arial"/>
      <family val="2"/>
    </font>
    <font>
      <b/>
      <u val="singleAccounting"/>
      <sz val="10"/>
      <name val="Arial"/>
      <family val="2"/>
    </font>
    <font>
      <u/>
      <sz val="11"/>
      <color theme="10"/>
      <name val="Calibri"/>
      <family val="2"/>
      <scheme val="minor"/>
    </font>
    <font>
      <sz val="10"/>
      <color theme="1"/>
      <name val="Arial"/>
      <family val="2"/>
    </font>
    <font>
      <b/>
      <sz val="10"/>
      <color theme="1"/>
      <name val="Arial"/>
      <family val="2"/>
    </font>
    <font>
      <u/>
      <sz val="9"/>
      <color theme="10"/>
      <name val="Arial"/>
      <family val="2"/>
    </font>
    <font>
      <sz val="8"/>
      <name val="Arial"/>
      <family val="2"/>
    </font>
    <font>
      <sz val="11"/>
      <color theme="4"/>
      <name val="Calibri"/>
      <family val="2"/>
      <scheme val="minor"/>
    </font>
    <font>
      <sz val="9"/>
      <color theme="1"/>
      <name val="Arial"/>
      <family val="2"/>
    </font>
    <font>
      <u/>
      <sz val="8"/>
      <color theme="0" tint="-0.499984740745262"/>
      <name val="Arial"/>
      <family val="2"/>
    </font>
    <font>
      <u/>
      <sz val="9"/>
      <color theme="1"/>
      <name val="Arial"/>
      <family val="2"/>
    </font>
    <font>
      <sz val="10"/>
      <color theme="4"/>
      <name val="Arial"/>
      <family val="2"/>
    </font>
    <font>
      <sz val="6"/>
      <color theme="5"/>
      <name val="Arial"/>
      <family val="2"/>
    </font>
    <font>
      <b/>
      <sz val="6"/>
      <color theme="5" tint="-0.249977111117893"/>
      <name val="Arial"/>
      <family val="2"/>
    </font>
    <font>
      <vertAlign val="superscript"/>
      <sz val="11"/>
      <color theme="1"/>
      <name val="Calibri"/>
      <family val="2"/>
      <scheme val="minor"/>
    </font>
    <font>
      <vertAlign val="superscript"/>
      <sz val="10"/>
      <name val="Arial"/>
      <family val="2"/>
    </font>
    <font>
      <u/>
      <sz val="10"/>
      <color theme="4"/>
      <name val="Arial"/>
      <family val="2"/>
    </font>
    <font>
      <i/>
      <sz val="11"/>
      <color theme="1"/>
      <name val="Calibri"/>
      <family val="2"/>
      <scheme val="minor"/>
    </font>
    <font>
      <b/>
      <sz val="11"/>
      <color rgb="FFFA7D00"/>
      <name val="Calibri"/>
      <family val="2"/>
      <scheme val="minor"/>
    </font>
    <font>
      <sz val="10"/>
      <color rgb="FFFF0000"/>
      <name val="Arial"/>
      <family val="2"/>
    </font>
    <font>
      <vertAlign val="superscript"/>
      <sz val="10"/>
      <color theme="4"/>
      <name val="Arial"/>
      <family val="2"/>
    </font>
    <font>
      <b/>
      <sz val="10"/>
      <color theme="0"/>
      <name val="Arial"/>
      <family val="2"/>
    </font>
    <font>
      <i/>
      <vertAlign val="superscript"/>
      <sz val="11"/>
      <color theme="1"/>
      <name val="Calibri"/>
      <family val="2"/>
      <scheme val="minor"/>
    </font>
    <font>
      <b/>
      <sz val="20"/>
      <color theme="1"/>
      <name val="Arial"/>
      <family val="2"/>
    </font>
    <font>
      <sz val="9"/>
      <color rgb="FF3F3F76"/>
      <name val="Arial"/>
      <family val="2"/>
    </font>
    <font>
      <b/>
      <sz val="12"/>
      <color theme="1"/>
      <name val="Arial"/>
      <family val="2"/>
    </font>
    <font>
      <sz val="12"/>
      <color theme="1"/>
      <name val="Arial"/>
      <family val="2"/>
    </font>
    <font>
      <sz val="11"/>
      <name val="Calibri"/>
      <family val="2"/>
      <scheme val="minor"/>
    </font>
    <font>
      <i/>
      <sz val="10"/>
      <color rgb="FF3F3F76"/>
      <name val="Arial"/>
      <family val="2"/>
    </font>
    <font>
      <b/>
      <sz val="10"/>
      <color rgb="FF000000"/>
      <name val="Arial"/>
      <family val="2"/>
    </font>
  </fonts>
  <fills count="10">
    <fill>
      <patternFill patternType="none"/>
    </fill>
    <fill>
      <patternFill patternType="gray125"/>
    </fill>
    <fill>
      <patternFill patternType="solid">
        <fgColor rgb="FFFFCC99"/>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patternFill>
    </fill>
    <fill>
      <patternFill patternType="solid">
        <fgColor theme="9"/>
        <bgColor indexed="64"/>
      </patternFill>
    </fill>
    <fill>
      <patternFill patternType="solid">
        <fgColor rgb="FF799B3E"/>
        <bgColor indexed="64"/>
      </patternFill>
    </fill>
    <fill>
      <patternFill patternType="solid">
        <fgColor theme="9" tint="0.59999389629810485"/>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7F7F7F"/>
      </left>
      <right/>
      <top/>
      <bottom/>
      <diagonal/>
    </border>
  </borders>
  <cellStyleXfs count="7">
    <xf numFmtId="0" fontId="0" fillId="0" borderId="0"/>
    <xf numFmtId="0" fontId="1" fillId="2" borderId="1" applyNumberFormat="0" applyAlignment="0" applyProtection="0"/>
    <xf numFmtId="44" fontId="8" fillId="0" borderId="0" applyFont="0" applyFill="0" applyBorder="0" applyAlignment="0" applyProtection="0"/>
    <xf numFmtId="0" fontId="9" fillId="5" borderId="2" applyNumberFormat="0" applyAlignment="0" applyProtection="0"/>
    <xf numFmtId="0" fontId="12" fillId="0" borderId="0" applyNumberFormat="0" applyFill="0" applyBorder="0" applyAlignment="0" applyProtection="0"/>
    <xf numFmtId="43" fontId="8" fillId="0" borderId="0" applyFont="0" applyFill="0" applyBorder="0" applyAlignment="0" applyProtection="0"/>
    <xf numFmtId="0" fontId="28" fillId="5" borderId="1" applyNumberFormat="0" applyAlignment="0" applyProtection="0"/>
  </cellStyleXfs>
  <cellXfs count="148">
    <xf numFmtId="0" fontId="0" fillId="0" borderId="0" xfId="0"/>
    <xf numFmtId="0" fontId="5" fillId="2" borderId="1" xfId="1" applyFont="1" applyAlignment="1" applyProtection="1">
      <alignment horizontal="center"/>
      <protection locked="0"/>
    </xf>
    <xf numFmtId="0" fontId="6" fillId="0" borderId="0" xfId="0" applyFont="1" applyProtection="1"/>
    <xf numFmtId="164" fontId="5" fillId="2" borderId="1" xfId="1" applyNumberFormat="1" applyFont="1" applyAlignment="1" applyProtection="1">
      <alignment horizontal="center"/>
      <protection locked="0"/>
    </xf>
    <xf numFmtId="0" fontId="7" fillId="0" borderId="0" xfId="0" applyFont="1" applyProtection="1"/>
    <xf numFmtId="0" fontId="6" fillId="0" borderId="0" xfId="0" applyFont="1" applyAlignment="1" applyProtection="1">
      <alignment horizontal="center"/>
    </xf>
    <xf numFmtId="0" fontId="6" fillId="0" borderId="5" xfId="0" applyFont="1" applyBorder="1" applyAlignment="1" applyProtection="1">
      <alignment horizontal="left" vertical="center"/>
    </xf>
    <xf numFmtId="2" fontId="6" fillId="0" borderId="6" xfId="0" applyNumberFormat="1" applyFont="1" applyBorder="1" applyAlignment="1" applyProtection="1">
      <alignment horizontal="center" vertical="center"/>
    </xf>
    <xf numFmtId="5" fontId="6" fillId="0" borderId="6" xfId="2" applyNumberFormat="1" applyFont="1" applyBorder="1" applyAlignment="1" applyProtection="1">
      <alignment horizontal="center" vertical="center"/>
    </xf>
    <xf numFmtId="5" fontId="6" fillId="0" borderId="7" xfId="2" applyNumberFormat="1" applyFont="1" applyBorder="1" applyAlignment="1" applyProtection="1">
      <alignment horizontal="center" vertical="center"/>
    </xf>
    <xf numFmtId="5" fontId="11" fillId="0" borderId="8" xfId="2" applyNumberFormat="1" applyFont="1" applyBorder="1" applyAlignment="1" applyProtection="1">
      <alignment horizontal="center" vertical="center"/>
    </xf>
    <xf numFmtId="0" fontId="6" fillId="0" borderId="9" xfId="0" applyFont="1" applyBorder="1" applyAlignment="1" applyProtection="1">
      <alignment horizontal="left" vertical="center"/>
    </xf>
    <xf numFmtId="2" fontId="6" fillId="0" borderId="10" xfId="0" applyNumberFormat="1" applyFont="1" applyBorder="1" applyAlignment="1" applyProtection="1">
      <alignment horizontal="center" vertical="center"/>
    </xf>
    <xf numFmtId="5" fontId="6" fillId="0" borderId="10" xfId="2" applyNumberFormat="1" applyFont="1" applyBorder="1" applyAlignment="1" applyProtection="1">
      <alignment horizontal="center" vertical="center"/>
    </xf>
    <xf numFmtId="5" fontId="6" fillId="0" borderId="11" xfId="2" applyNumberFormat="1" applyFont="1" applyBorder="1" applyAlignment="1" applyProtection="1">
      <alignment horizontal="center" vertical="center"/>
    </xf>
    <xf numFmtId="5" fontId="11" fillId="0" borderId="12" xfId="2" applyNumberFormat="1" applyFont="1" applyBorder="1" applyAlignment="1" applyProtection="1">
      <alignment horizontal="center" vertical="center"/>
    </xf>
    <xf numFmtId="0" fontId="4" fillId="0" borderId="13" xfId="0" applyFont="1" applyBorder="1" applyAlignment="1" applyProtection="1">
      <alignment horizontal="left" vertical="center"/>
    </xf>
    <xf numFmtId="0" fontId="6" fillId="0" borderId="14" xfId="0" applyFont="1" applyBorder="1" applyAlignment="1" applyProtection="1">
      <alignment horizontal="right"/>
    </xf>
    <xf numFmtId="5" fontId="4" fillId="0" borderId="14" xfId="2" applyNumberFormat="1" applyFont="1" applyBorder="1" applyAlignment="1" applyProtection="1">
      <alignment horizontal="center" vertical="center"/>
    </xf>
    <xf numFmtId="5" fontId="4" fillId="0" borderId="15" xfId="2" applyNumberFormat="1" applyFont="1" applyBorder="1" applyAlignment="1" applyProtection="1">
      <alignment horizontal="center" vertical="center"/>
    </xf>
    <xf numFmtId="5" fontId="11" fillId="0" borderId="3" xfId="2" applyNumberFormat="1" applyFont="1" applyBorder="1" applyAlignment="1" applyProtection="1">
      <alignment horizontal="center" vertical="center"/>
    </xf>
    <xf numFmtId="0" fontId="2" fillId="0" borderId="0" xfId="0" applyFont="1"/>
    <xf numFmtId="0" fontId="0" fillId="0" borderId="0" xfId="0" applyAlignment="1">
      <alignment wrapText="1"/>
    </xf>
    <xf numFmtId="9" fontId="0" fillId="0" borderId="0" xfId="0" applyNumberFormat="1"/>
    <xf numFmtId="5" fontId="6" fillId="0" borderId="32" xfId="2" applyNumberFormat="1" applyFont="1" applyBorder="1" applyAlignment="1" applyProtection="1">
      <alignment horizontal="center" vertical="center"/>
    </xf>
    <xf numFmtId="5" fontId="6" fillId="0" borderId="33" xfId="2" applyNumberFormat="1" applyFont="1" applyBorder="1" applyAlignment="1" applyProtection="1">
      <alignment horizontal="center" vertical="center"/>
    </xf>
    <xf numFmtId="5" fontId="4" fillId="0" borderId="34" xfId="2" applyNumberFormat="1" applyFont="1" applyBorder="1" applyAlignment="1" applyProtection="1">
      <alignment horizontal="center" vertical="center"/>
    </xf>
    <xf numFmtId="0" fontId="4" fillId="0" borderId="29" xfId="0" applyFont="1" applyFill="1" applyBorder="1" applyAlignment="1" applyProtection="1">
      <alignment horizontal="left" vertical="center"/>
    </xf>
    <xf numFmtId="20" fontId="16" fillId="0" borderId="0" xfId="0" applyNumberFormat="1" applyFont="1" applyProtection="1"/>
    <xf numFmtId="0" fontId="0" fillId="0" borderId="0" xfId="0" applyProtection="1"/>
    <xf numFmtId="0" fontId="2" fillId="4" borderId="0" xfId="0" applyFont="1" applyFill="1" applyProtection="1"/>
    <xf numFmtId="0" fontId="0" fillId="4" borderId="0" xfId="0" applyFill="1" applyProtection="1"/>
    <xf numFmtId="0" fontId="21" fillId="0" borderId="0" xfId="0" applyFont="1" applyProtection="1"/>
    <xf numFmtId="0" fontId="13" fillId="0" borderId="0" xfId="0" applyFont="1" applyProtection="1"/>
    <xf numFmtId="164" fontId="9" fillId="5" borderId="2" xfId="3" applyNumberFormat="1" applyAlignment="1" applyProtection="1">
      <alignment horizontal="center"/>
    </xf>
    <xf numFmtId="0" fontId="20" fillId="0" borderId="0" xfId="4" applyFont="1" applyProtection="1"/>
    <xf numFmtId="0" fontId="20" fillId="0" borderId="0" xfId="4" applyFont="1" applyProtection="1">
      <protection locked="0"/>
    </xf>
    <xf numFmtId="0" fontId="6" fillId="0" borderId="0" xfId="0" applyFont="1" applyFill="1" applyBorder="1" applyProtection="1"/>
    <xf numFmtId="0" fontId="6" fillId="0" borderId="0" xfId="0" applyFont="1" applyAlignment="1" applyProtection="1">
      <alignment horizontal="left" indent="1"/>
    </xf>
    <xf numFmtId="165" fontId="5" fillId="2" borderId="1" xfId="2" applyNumberFormat="1" applyFont="1" applyFill="1" applyBorder="1" applyAlignment="1" applyProtection="1">
      <alignment horizontal="center"/>
      <protection locked="0"/>
    </xf>
    <xf numFmtId="0" fontId="13" fillId="0" borderId="16" xfId="0" applyFont="1" applyBorder="1" applyProtection="1"/>
    <xf numFmtId="0" fontId="14" fillId="0" borderId="17" xfId="0" applyFont="1" applyBorder="1" applyProtection="1"/>
    <xf numFmtId="0" fontId="13" fillId="0" borderId="17" xfId="0" applyFont="1" applyBorder="1" applyProtection="1"/>
    <xf numFmtId="0" fontId="13" fillId="0" borderId="18" xfId="0" applyFont="1" applyBorder="1" applyProtection="1"/>
    <xf numFmtId="0" fontId="13" fillId="0" borderId="27" xfId="0" applyFont="1" applyBorder="1" applyProtection="1"/>
    <xf numFmtId="0" fontId="13" fillId="0" borderId="29" xfId="0" applyFont="1" applyBorder="1" applyProtection="1"/>
    <xf numFmtId="0" fontId="13" fillId="0" borderId="0" xfId="0" applyFont="1" applyBorder="1" applyProtection="1"/>
    <xf numFmtId="0" fontId="13" fillId="0" borderId="28" xfId="0" applyFont="1" applyBorder="1" applyProtection="1"/>
    <xf numFmtId="0" fontId="13" fillId="0" borderId="30" xfId="0" applyFont="1" applyBorder="1" applyProtection="1"/>
    <xf numFmtId="0" fontId="13" fillId="0" borderId="31" xfId="0" applyFont="1" applyBorder="1" applyProtection="1"/>
    <xf numFmtId="0" fontId="14" fillId="0" borderId="16" xfId="0" applyFont="1" applyBorder="1" applyProtection="1"/>
    <xf numFmtId="0" fontId="14" fillId="0" borderId="0" xfId="0" applyFont="1" applyBorder="1" applyProtection="1"/>
    <xf numFmtId="0" fontId="13" fillId="0" borderId="0" xfId="0" applyFont="1" applyAlignment="1" applyProtection="1">
      <alignment horizontal="left" indent="1"/>
    </xf>
    <xf numFmtId="0" fontId="22" fillId="0" borderId="30" xfId="0" quotePrefix="1" applyFont="1" applyBorder="1" applyAlignment="1" applyProtection="1">
      <alignment vertical="center"/>
    </xf>
    <xf numFmtId="0" fontId="23" fillId="0" borderId="30" xfId="0" applyFont="1" applyBorder="1" applyAlignment="1" applyProtection="1">
      <alignment vertical="center"/>
    </xf>
    <xf numFmtId="0" fontId="29" fillId="0" borderId="0" xfId="0" applyFont="1" applyProtection="1"/>
    <xf numFmtId="0" fontId="31" fillId="7" borderId="3" xfId="0" applyFont="1" applyFill="1" applyBorder="1" applyAlignment="1" applyProtection="1">
      <alignment horizontal="left" vertical="center" wrapText="1"/>
    </xf>
    <xf numFmtId="0" fontId="31" fillId="7" borderId="4" xfId="0" applyFont="1" applyFill="1" applyBorder="1" applyAlignment="1" applyProtection="1">
      <alignment horizontal="center" vertical="center" wrapText="1"/>
    </xf>
    <xf numFmtId="166" fontId="5" fillId="2" borderId="0" xfId="5" applyNumberFormat="1" applyFont="1" applyFill="1" applyBorder="1" applyAlignment="1" applyProtection="1">
      <alignment horizontal="center"/>
      <protection locked="0"/>
    </xf>
    <xf numFmtId="0" fontId="0" fillId="0" borderId="0" xfId="0" quotePrefix="1" applyProtection="1"/>
    <xf numFmtId="0" fontId="0" fillId="0" borderId="0" xfId="0" applyAlignment="1">
      <alignment vertical="center" wrapText="1"/>
    </xf>
    <xf numFmtId="167" fontId="5" fillId="2" borderId="1" xfId="2" applyNumberFormat="1" applyFont="1" applyFill="1" applyBorder="1" applyAlignment="1" applyProtection="1">
      <alignment horizontal="center" vertical="center"/>
      <protection locked="0"/>
    </xf>
    <xf numFmtId="3" fontId="5" fillId="2" borderId="1" xfId="5" applyNumberFormat="1" applyFont="1" applyFill="1" applyBorder="1" applyAlignment="1" applyProtection="1">
      <alignment horizontal="center" vertical="center"/>
      <protection locked="0"/>
    </xf>
    <xf numFmtId="0" fontId="6" fillId="0" borderId="0" xfId="0" applyFont="1" applyAlignment="1" applyProtection="1">
      <alignment horizontal="left"/>
    </xf>
    <xf numFmtId="0" fontId="0" fillId="0" borderId="0" xfId="0" applyBorder="1"/>
    <xf numFmtId="0" fontId="0" fillId="0" borderId="28" xfId="0" applyBorder="1"/>
    <xf numFmtId="168" fontId="0" fillId="0" borderId="0" xfId="0" applyNumberFormat="1" applyProtection="1"/>
    <xf numFmtId="0" fontId="33" fillId="0" borderId="44" xfId="0" applyFont="1" applyBorder="1" applyProtection="1"/>
    <xf numFmtId="0" fontId="13" fillId="0" borderId="45" xfId="0" applyFont="1" applyBorder="1" applyProtection="1"/>
    <xf numFmtId="0" fontId="13" fillId="0" borderId="4" xfId="0" applyFont="1" applyBorder="1" applyProtection="1"/>
    <xf numFmtId="0" fontId="21" fillId="0" borderId="0" xfId="0" applyFont="1" applyAlignment="1" applyProtection="1">
      <alignment horizontal="left" vertical="center"/>
    </xf>
    <xf numFmtId="0" fontId="6" fillId="0" borderId="0" xfId="0" applyFont="1" applyAlignment="1" applyProtection="1">
      <alignment horizontal="left" vertical="center" indent="1"/>
    </xf>
    <xf numFmtId="0" fontId="6" fillId="0" borderId="0" xfId="0" applyFont="1" applyAlignment="1" applyProtection="1">
      <alignment vertical="center"/>
    </xf>
    <xf numFmtId="166" fontId="0" fillId="0" borderId="0" xfId="5" applyNumberFormat="1" applyFont="1" applyProtection="1"/>
    <xf numFmtId="5" fontId="0" fillId="0" borderId="0" xfId="0" applyNumberFormat="1" applyProtection="1"/>
    <xf numFmtId="0" fontId="13" fillId="9" borderId="17" xfId="0" applyFont="1" applyFill="1" applyBorder="1" applyProtection="1"/>
    <xf numFmtId="0" fontId="35" fillId="9" borderId="17" xfId="0" applyFont="1" applyFill="1" applyBorder="1" applyProtection="1"/>
    <xf numFmtId="0" fontId="36" fillId="9" borderId="17" xfId="0" applyFont="1" applyFill="1" applyBorder="1" applyProtection="1"/>
    <xf numFmtId="0" fontId="37" fillId="0" borderId="0" xfId="0" applyFont="1" applyAlignment="1">
      <alignment wrapText="1"/>
    </xf>
    <xf numFmtId="0" fontId="37" fillId="0" borderId="0" xfId="0" applyFont="1"/>
    <xf numFmtId="0" fontId="17" fillId="0" borderId="0" xfId="0" applyFont="1" applyProtection="1"/>
    <xf numFmtId="0" fontId="15" fillId="0" borderId="0" xfId="4" applyFont="1" applyBorder="1" applyAlignment="1" applyProtection="1"/>
    <xf numFmtId="164" fontId="5" fillId="2" borderId="1" xfId="1" applyNumberFormat="1" applyFont="1" applyAlignment="1" applyProtection="1">
      <alignment horizontal="center"/>
    </xf>
    <xf numFmtId="165" fontId="5" fillId="2" borderId="1" xfId="2" applyNumberFormat="1" applyFont="1" applyFill="1" applyBorder="1" applyAlignment="1" applyProtection="1">
      <alignment horizontal="center"/>
    </xf>
    <xf numFmtId="166" fontId="5" fillId="2" borderId="0" xfId="5" applyNumberFormat="1" applyFont="1" applyFill="1" applyBorder="1" applyAlignment="1" applyProtection="1">
      <alignment horizontal="center"/>
    </xf>
    <xf numFmtId="167" fontId="17" fillId="5" borderId="1" xfId="6" applyNumberFormat="1" applyFont="1" applyAlignment="1" applyProtection="1">
      <alignment horizontal="right"/>
    </xf>
    <xf numFmtId="166" fontId="17" fillId="5" borderId="1" xfId="5" applyNumberFormat="1" applyFont="1" applyFill="1" applyBorder="1" applyAlignment="1" applyProtection="1">
      <alignment horizontal="right"/>
    </xf>
    <xf numFmtId="43" fontId="17" fillId="5" borderId="1" xfId="5" applyNumberFormat="1" applyFont="1" applyFill="1" applyBorder="1" applyAlignment="1" applyProtection="1">
      <alignment horizontal="right"/>
    </xf>
    <xf numFmtId="0" fontId="12" fillId="8" borderId="0" xfId="4" applyFill="1" applyBorder="1" applyAlignment="1" applyProtection="1">
      <protection locked="0"/>
    </xf>
    <xf numFmtId="0" fontId="18" fillId="0" borderId="0" xfId="0" applyFont="1" applyBorder="1" applyAlignment="1" applyProtection="1">
      <alignment horizontal="left" vertical="center" indent="1"/>
    </xf>
    <xf numFmtId="0" fontId="13" fillId="0" borderId="0" xfId="0" applyFont="1" applyBorder="1" applyAlignment="1" applyProtection="1">
      <alignment horizontal="left" vertical="center" indent="1"/>
    </xf>
    <xf numFmtId="0" fontId="14" fillId="0" borderId="0" xfId="0" applyFont="1" applyBorder="1" applyAlignment="1" applyProtection="1">
      <alignment horizontal="left" vertical="center" indent="1"/>
    </xf>
    <xf numFmtId="0" fontId="4" fillId="0" borderId="0" xfId="0" applyFont="1" applyProtection="1"/>
    <xf numFmtId="0" fontId="4" fillId="0" borderId="0" xfId="0" applyFont="1" applyAlignment="1" applyProtection="1">
      <alignment horizontal="left" vertical="center" indent="1"/>
    </xf>
    <xf numFmtId="165" fontId="38" fillId="2" borderId="1" xfId="2" applyNumberFormat="1" applyFont="1" applyFill="1" applyBorder="1" applyAlignment="1" applyProtection="1">
      <alignment horizontal="center"/>
    </xf>
    <xf numFmtId="167" fontId="38" fillId="2" borderId="1" xfId="2" applyNumberFormat="1" applyFont="1" applyFill="1" applyBorder="1" applyAlignment="1" applyProtection="1">
      <alignment horizontal="center" vertical="center"/>
    </xf>
    <xf numFmtId="3" fontId="38" fillId="2" borderId="1" xfId="5" applyNumberFormat="1" applyFont="1" applyFill="1" applyBorder="1" applyAlignment="1" applyProtection="1">
      <alignment horizontal="center" vertical="center"/>
    </xf>
    <xf numFmtId="166" fontId="38" fillId="2" borderId="0" xfId="5" applyNumberFormat="1" applyFont="1" applyFill="1" applyBorder="1" applyAlignment="1" applyProtection="1">
      <alignment horizontal="center"/>
    </xf>
    <xf numFmtId="0" fontId="17" fillId="5" borderId="1" xfId="6" applyNumberFormat="1" applyFont="1" applyAlignment="1" applyProtection="1">
      <alignment horizontal="right"/>
    </xf>
    <xf numFmtId="0" fontId="17" fillId="5" borderId="1" xfId="5" applyNumberFormat="1" applyFont="1" applyFill="1" applyBorder="1" applyAlignment="1" applyProtection="1">
      <alignment horizontal="right"/>
    </xf>
    <xf numFmtId="165" fontId="5" fillId="2" borderId="0" xfId="2" applyNumberFormat="1" applyFont="1" applyFill="1" applyBorder="1" applyAlignment="1" applyProtection="1">
      <alignment horizontal="center"/>
      <protection locked="0"/>
    </xf>
    <xf numFmtId="167" fontId="5" fillId="2" borderId="0" xfId="2" applyNumberFormat="1" applyFont="1" applyFill="1" applyBorder="1" applyAlignment="1" applyProtection="1">
      <alignment horizontal="center" vertical="center"/>
      <protection locked="0"/>
    </xf>
    <xf numFmtId="3" fontId="5" fillId="2" borderId="0" xfId="5" applyNumberFormat="1" applyFont="1" applyFill="1" applyBorder="1" applyAlignment="1" applyProtection="1">
      <alignment horizontal="center" vertical="center"/>
      <protection locked="0"/>
    </xf>
    <xf numFmtId="0" fontId="39" fillId="0" borderId="0" xfId="0" applyFont="1"/>
    <xf numFmtId="0" fontId="16" fillId="6" borderId="20" xfId="4" applyFont="1" applyFill="1" applyBorder="1" applyAlignment="1" applyProtection="1">
      <alignment horizontal="center" vertical="center" wrapText="1"/>
    </xf>
    <xf numFmtId="0" fontId="16" fillId="6" borderId="21" xfId="4" applyFont="1" applyFill="1" applyBorder="1" applyAlignment="1" applyProtection="1">
      <alignment horizontal="center" vertical="center" wrapText="1"/>
    </xf>
    <xf numFmtId="0" fontId="16" fillId="6" borderId="22" xfId="4" applyFont="1" applyFill="1" applyBorder="1" applyAlignment="1" applyProtection="1">
      <alignment horizontal="center" vertical="center" wrapText="1"/>
    </xf>
    <xf numFmtId="0" fontId="16" fillId="6" borderId="19" xfId="4" applyFont="1" applyFill="1" applyBorder="1" applyAlignment="1" applyProtection="1">
      <alignment horizontal="center" vertical="center" wrapText="1"/>
    </xf>
    <xf numFmtId="0" fontId="16" fillId="6" borderId="0" xfId="4" applyFont="1" applyFill="1" applyBorder="1" applyAlignment="1" applyProtection="1">
      <alignment horizontal="center" vertical="center" wrapText="1"/>
    </xf>
    <xf numFmtId="0" fontId="16" fillId="6" borderId="23" xfId="4" applyFont="1" applyFill="1" applyBorder="1" applyAlignment="1" applyProtection="1">
      <alignment horizontal="center" vertical="center" wrapText="1"/>
    </xf>
    <xf numFmtId="0" fontId="16" fillId="6" borderId="24" xfId="4" applyFont="1" applyFill="1" applyBorder="1" applyAlignment="1" applyProtection="1">
      <alignment horizontal="center" vertical="center" wrapText="1"/>
    </xf>
    <xf numFmtId="0" fontId="16" fillId="6" borderId="25" xfId="4" applyFont="1" applyFill="1" applyBorder="1" applyAlignment="1" applyProtection="1">
      <alignment horizontal="center" vertical="center" wrapText="1"/>
    </xf>
    <xf numFmtId="0" fontId="16" fillId="6" borderId="26" xfId="4" applyFont="1" applyFill="1" applyBorder="1" applyAlignment="1" applyProtection="1">
      <alignment horizontal="center" vertical="center" wrapText="1"/>
    </xf>
    <xf numFmtId="0" fontId="13" fillId="0" borderId="0" xfId="0" applyFont="1" applyBorder="1" applyAlignment="1" applyProtection="1">
      <alignment horizontal="left" vertical="top" wrapText="1"/>
    </xf>
    <xf numFmtId="0" fontId="13" fillId="0" borderId="28" xfId="0" applyFont="1" applyBorder="1" applyAlignment="1" applyProtection="1">
      <alignment horizontal="left" vertical="top" wrapText="1"/>
    </xf>
    <xf numFmtId="0" fontId="13" fillId="0" borderId="30" xfId="0" applyFont="1" applyBorder="1" applyAlignment="1" applyProtection="1">
      <alignment horizontal="left" vertical="top" wrapText="1"/>
    </xf>
    <xf numFmtId="0" fontId="13" fillId="0" borderId="31" xfId="0" applyFont="1" applyBorder="1" applyAlignment="1" applyProtection="1">
      <alignment horizontal="left" vertical="top" wrapText="1"/>
    </xf>
    <xf numFmtId="0" fontId="15" fillId="0" borderId="0" xfId="4" applyFont="1" applyBorder="1" applyAlignment="1" applyProtection="1">
      <alignment horizontal="left"/>
    </xf>
    <xf numFmtId="0" fontId="18" fillId="0" borderId="30" xfId="0" applyFont="1" applyBorder="1" applyAlignment="1" applyProtection="1">
      <alignment horizontal="left" vertical="center" wrapText="1" indent="1"/>
    </xf>
    <xf numFmtId="0" fontId="19" fillId="0" borderId="0" xfId="4" applyFont="1" applyBorder="1" applyAlignment="1" applyProtection="1">
      <alignment horizontal="center" wrapText="1"/>
    </xf>
    <xf numFmtId="0" fontId="3" fillId="3"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6" fillId="0" borderId="35" xfId="0" applyFont="1" applyBorder="1" applyAlignment="1" applyProtection="1">
      <alignment horizontal="left" vertical="center"/>
    </xf>
    <xf numFmtId="0" fontId="6" fillId="0" borderId="36" xfId="0" applyFont="1" applyBorder="1" applyAlignment="1" applyProtection="1">
      <alignment horizontal="left" vertical="center"/>
    </xf>
    <xf numFmtId="5" fontId="6" fillId="0" borderId="37" xfId="2" applyNumberFormat="1" applyFont="1" applyBorder="1" applyAlignment="1" applyProtection="1">
      <alignment horizontal="center" vertical="center"/>
    </xf>
    <xf numFmtId="5" fontId="6" fillId="0" borderId="38" xfId="2" applyNumberFormat="1" applyFont="1" applyBorder="1" applyAlignment="1" applyProtection="1">
      <alignment horizontal="center" vertical="center"/>
    </xf>
    <xf numFmtId="5" fontId="6" fillId="0" borderId="39" xfId="2" applyNumberFormat="1" applyFont="1" applyBorder="1" applyAlignment="1" applyProtection="1">
      <alignment horizontal="center" vertical="center"/>
    </xf>
    <xf numFmtId="164" fontId="34" fillId="2" borderId="46" xfId="1" applyNumberFormat="1" applyFont="1" applyBorder="1" applyAlignment="1" applyProtection="1">
      <alignment horizontal="center" vertical="center" wrapText="1"/>
    </xf>
    <xf numFmtId="164" fontId="34" fillId="2" borderId="0" xfId="1" applyNumberFormat="1" applyFont="1" applyBorder="1" applyAlignment="1" applyProtection="1">
      <alignment horizontal="center" vertical="center" wrapText="1"/>
    </xf>
    <xf numFmtId="5" fontId="6" fillId="0" borderId="40" xfId="2" applyNumberFormat="1" applyFont="1" applyBorder="1" applyAlignment="1" applyProtection="1">
      <alignment horizontal="center" vertical="center"/>
    </xf>
    <xf numFmtId="5" fontId="6" fillId="0" borderId="41" xfId="2" applyNumberFormat="1" applyFont="1" applyBorder="1" applyAlignment="1" applyProtection="1">
      <alignment horizontal="center" vertical="center"/>
    </xf>
    <xf numFmtId="5" fontId="6" fillId="0" borderId="42" xfId="2" applyNumberFormat="1" applyFont="1" applyBorder="1" applyAlignment="1" applyProtection="1">
      <alignment horizontal="center" vertical="center"/>
    </xf>
    <xf numFmtId="5" fontId="6" fillId="0" borderId="43" xfId="2" applyNumberFormat="1" applyFont="1" applyBorder="1" applyAlignment="1" applyProtection="1">
      <alignment horizontal="center" vertical="center"/>
    </xf>
    <xf numFmtId="5" fontId="6" fillId="0" borderId="30" xfId="2" applyNumberFormat="1" applyFont="1" applyBorder="1" applyAlignment="1" applyProtection="1">
      <alignment horizontal="center" vertical="center"/>
    </xf>
    <xf numFmtId="5" fontId="6" fillId="0" borderId="31" xfId="2" applyNumberFormat="1" applyFont="1" applyBorder="1" applyAlignment="1" applyProtection="1">
      <alignment horizontal="center" vertical="center"/>
    </xf>
    <xf numFmtId="164" fontId="34" fillId="2" borderId="46" xfId="1" applyNumberFormat="1" applyFont="1" applyBorder="1" applyAlignment="1" applyProtection="1">
      <alignment horizontal="center" vertical="center" wrapText="1"/>
      <protection locked="0"/>
    </xf>
    <xf numFmtId="164" fontId="34" fillId="2" borderId="0" xfId="1" applyNumberFormat="1" applyFont="1" applyBorder="1" applyAlignment="1" applyProtection="1">
      <alignment horizontal="center" vertical="center" wrapText="1"/>
      <protection locked="0"/>
    </xf>
    <xf numFmtId="0" fontId="27" fillId="0" borderId="20" xfId="0" applyFont="1" applyBorder="1" applyAlignment="1" applyProtection="1">
      <alignment horizontal="left" vertical="center" wrapText="1"/>
    </xf>
    <xf numFmtId="0" fontId="27" fillId="0" borderId="21" xfId="0" applyFont="1" applyBorder="1" applyAlignment="1" applyProtection="1">
      <alignment horizontal="left" vertical="center" wrapText="1"/>
    </xf>
    <xf numFmtId="0" fontId="27" fillId="0" borderId="2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0" xfId="0" applyFont="1" applyBorder="1" applyAlignment="1" applyProtection="1">
      <alignment horizontal="left" vertical="center" wrapText="1"/>
    </xf>
    <xf numFmtId="0" fontId="27" fillId="0" borderId="23" xfId="0" applyFont="1" applyBorder="1" applyAlignment="1" applyProtection="1">
      <alignment horizontal="left" vertical="center" wrapText="1"/>
    </xf>
    <xf numFmtId="0" fontId="27" fillId="0" borderId="24" xfId="0" applyFont="1" applyBorder="1" applyAlignment="1" applyProtection="1">
      <alignment horizontal="left" vertical="center" wrapText="1"/>
    </xf>
    <xf numFmtId="0" fontId="27" fillId="0" borderId="25" xfId="0" applyFont="1" applyBorder="1" applyAlignment="1" applyProtection="1">
      <alignment horizontal="left" vertical="center" wrapText="1"/>
    </xf>
    <xf numFmtId="0" fontId="27" fillId="0" borderId="26" xfId="0" applyFont="1" applyBorder="1" applyAlignment="1" applyProtection="1">
      <alignment horizontal="left" vertical="center" wrapText="1"/>
    </xf>
    <xf numFmtId="0" fontId="21" fillId="0" borderId="0" xfId="0" applyFont="1" applyAlignment="1" applyProtection="1">
      <alignment horizontal="center" vertical="center" wrapText="1"/>
    </xf>
    <xf numFmtId="0" fontId="21" fillId="0" borderId="0" xfId="0" applyFont="1" applyAlignment="1" applyProtection="1">
      <alignment horizontal="left" vertical="center" wrapText="1"/>
    </xf>
  </cellXfs>
  <cellStyles count="7">
    <cellStyle name="Calculation" xfId="6" builtinId="22"/>
    <cellStyle name="Comma" xfId="5" builtinId="3"/>
    <cellStyle name="Currency" xfId="2" builtinId="4"/>
    <cellStyle name="Hyperlink" xfId="4" builtinId="8"/>
    <cellStyle name="Input" xfId="1" builtinId="20" customBuiltin="1"/>
    <cellStyle name="Normal" xfId="0" builtinId="0"/>
    <cellStyle name="Output" xfId="3"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5</xdr:col>
      <xdr:colOff>209790</xdr:colOff>
      <xdr:row>22</xdr:row>
      <xdr:rowOff>114300</xdr:rowOff>
    </xdr:from>
    <xdr:to>
      <xdr:col>7</xdr:col>
      <xdr:colOff>524115</xdr:colOff>
      <xdr:row>26</xdr:row>
      <xdr:rowOff>76200</xdr:rowOff>
    </xdr:to>
    <xdr:sp macro="" textlink="">
      <xdr:nvSpPr>
        <xdr:cNvPr id="3" name="Rounded Rectangle 2">
          <a:extLst>
            <a:ext uri="{FF2B5EF4-FFF2-40B4-BE49-F238E27FC236}">
              <a16:creationId xmlns:a16="http://schemas.microsoft.com/office/drawing/2014/main" id="{00000000-0008-0000-0000-000003000000}"/>
            </a:ext>
          </a:extLst>
        </xdr:cNvPr>
        <xdr:cNvSpPr/>
      </xdr:nvSpPr>
      <xdr:spPr>
        <a:xfrm>
          <a:off x="2571990" y="3619500"/>
          <a:ext cx="1643592" cy="58843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NZ" sz="1000">
              <a:effectLst/>
              <a:latin typeface="Arial" panose="020B0604020202020204" pitchFamily="34" charset="0"/>
              <a:cs typeface="Arial" panose="020B0604020202020204" pitchFamily="34" charset="0"/>
            </a:rPr>
            <a:t>Is the development area under category 1 or 2? (section 3.4) </a:t>
          </a:r>
        </a:p>
        <a:p>
          <a:pPr algn="ctr"/>
          <a:endParaRPr lang="en-NZ" sz="1050"/>
        </a:p>
      </xdr:txBody>
    </xdr:sp>
    <xdr:clientData/>
  </xdr:twoCellAnchor>
  <xdr:twoCellAnchor>
    <xdr:from>
      <xdr:col>7</xdr:col>
      <xdr:colOff>524115</xdr:colOff>
      <xdr:row>24</xdr:row>
      <xdr:rowOff>95250</xdr:rowOff>
    </xdr:from>
    <xdr:to>
      <xdr:col>10</xdr:col>
      <xdr:colOff>60325</xdr:colOff>
      <xdr:row>24</xdr:row>
      <xdr:rowOff>100011</xdr:rowOff>
    </xdr:to>
    <xdr:cxnSp macro="">
      <xdr:nvCxnSpPr>
        <xdr:cNvPr id="6" name="Straight Arrow Connector 5">
          <a:extLst>
            <a:ext uri="{FF2B5EF4-FFF2-40B4-BE49-F238E27FC236}">
              <a16:creationId xmlns:a16="http://schemas.microsoft.com/office/drawing/2014/main" id="{00000000-0008-0000-0000-000006000000}"/>
            </a:ext>
          </a:extLst>
        </xdr:cNvPr>
        <xdr:cNvCxnSpPr>
          <a:stCxn id="3" idx="3"/>
          <a:endCxn id="7" idx="2"/>
        </xdr:cNvCxnSpPr>
      </xdr:nvCxnSpPr>
      <xdr:spPr>
        <a:xfrm>
          <a:off x="4215582" y="3913717"/>
          <a:ext cx="1530110" cy="476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60325</xdr:colOff>
      <xdr:row>22</xdr:row>
      <xdr:rowOff>152399</xdr:rowOff>
    </xdr:from>
    <xdr:to>
      <xdr:col>12</xdr:col>
      <xdr:colOff>60325</xdr:colOff>
      <xdr:row>26</xdr:row>
      <xdr:rowOff>47624</xdr:rowOff>
    </xdr:to>
    <xdr:sp macro="" textlink="">
      <xdr:nvSpPr>
        <xdr:cNvPr id="7" name="Oval 6">
          <a:extLst>
            <a:ext uri="{FF2B5EF4-FFF2-40B4-BE49-F238E27FC236}">
              <a16:creationId xmlns:a16="http://schemas.microsoft.com/office/drawing/2014/main" id="{00000000-0008-0000-0000-000007000000}"/>
            </a:ext>
          </a:extLst>
        </xdr:cNvPr>
        <xdr:cNvSpPr/>
      </xdr:nvSpPr>
      <xdr:spPr>
        <a:xfrm>
          <a:off x="5745692" y="3632199"/>
          <a:ext cx="1329266" cy="521758"/>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NZ" sz="900">
              <a:latin typeface="Arial" panose="020B0604020202020204" pitchFamily="34" charset="0"/>
              <a:cs typeface="Arial" panose="020B0604020202020204" pitchFamily="34" charset="0"/>
            </a:rPr>
            <a:t>Discuss with NCC staff</a:t>
          </a:r>
        </a:p>
      </xdr:txBody>
    </xdr:sp>
    <xdr:clientData/>
  </xdr:twoCellAnchor>
  <xdr:twoCellAnchor>
    <xdr:from>
      <xdr:col>6</xdr:col>
      <xdr:colOff>342899</xdr:colOff>
      <xdr:row>26</xdr:row>
      <xdr:rowOff>85725</xdr:rowOff>
    </xdr:from>
    <xdr:to>
      <xdr:col>6</xdr:col>
      <xdr:colOff>366953</xdr:colOff>
      <xdr:row>29</xdr:row>
      <xdr:rowOff>9525</xdr:rowOff>
    </xdr:to>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a:xfrm>
          <a:off x="3369732" y="4217458"/>
          <a:ext cx="24054" cy="393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400050</xdr:colOff>
      <xdr:row>23</xdr:row>
      <xdr:rowOff>142875</xdr:rowOff>
    </xdr:from>
    <xdr:to>
      <xdr:col>9</xdr:col>
      <xdr:colOff>209550</xdr:colOff>
      <xdr:row>25</xdr:row>
      <xdr:rowOff>76200</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3724275" y="1924050"/>
          <a:ext cx="419100"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800" b="1">
              <a:latin typeface="Arial" panose="020B0604020202020204" pitchFamily="34" charset="0"/>
              <a:cs typeface="Arial" panose="020B0604020202020204" pitchFamily="34" charset="0"/>
            </a:rPr>
            <a:t>No</a:t>
          </a:r>
        </a:p>
      </xdr:txBody>
    </xdr:sp>
    <xdr:clientData/>
  </xdr:twoCellAnchor>
  <xdr:twoCellAnchor>
    <xdr:from>
      <xdr:col>6</xdr:col>
      <xdr:colOff>133350</xdr:colOff>
      <xdr:row>26</xdr:row>
      <xdr:rowOff>152400</xdr:rowOff>
    </xdr:from>
    <xdr:to>
      <xdr:col>6</xdr:col>
      <xdr:colOff>552450</xdr:colOff>
      <xdr:row>28</xdr:row>
      <xdr:rowOff>17736</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2847975" y="2524125"/>
          <a:ext cx="419100" cy="1891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800" b="1">
              <a:latin typeface="Arial" panose="020B0604020202020204" pitchFamily="34" charset="0"/>
              <a:cs typeface="Arial" panose="020B0604020202020204" pitchFamily="34" charset="0"/>
            </a:rPr>
            <a:t>Yes</a:t>
          </a:r>
        </a:p>
      </xdr:txBody>
    </xdr:sp>
    <xdr:clientData/>
  </xdr:twoCellAnchor>
  <xdr:twoCellAnchor>
    <xdr:from>
      <xdr:col>5</xdr:col>
      <xdr:colOff>209790</xdr:colOff>
      <xdr:row>35</xdr:row>
      <xdr:rowOff>87433</xdr:rowOff>
    </xdr:from>
    <xdr:to>
      <xdr:col>7</xdr:col>
      <xdr:colOff>524115</xdr:colOff>
      <xdr:row>39</xdr:row>
      <xdr:rowOff>87733</xdr:rowOff>
    </xdr:to>
    <xdr:sp macro="" textlink="">
      <xdr:nvSpPr>
        <xdr:cNvPr id="58" name="Rounded Rectangle 57">
          <a:extLst>
            <a:ext uri="{FF2B5EF4-FFF2-40B4-BE49-F238E27FC236}">
              <a16:creationId xmlns:a16="http://schemas.microsoft.com/office/drawing/2014/main" id="{00000000-0008-0000-0000-00003A000000}"/>
            </a:ext>
          </a:extLst>
        </xdr:cNvPr>
        <xdr:cNvSpPr/>
      </xdr:nvSpPr>
      <xdr:spPr>
        <a:xfrm>
          <a:off x="2571990" y="7931800"/>
          <a:ext cx="1643592" cy="66493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NZ" sz="1000">
              <a:effectLst/>
              <a:latin typeface="Arial" panose="020B0604020202020204" pitchFamily="34" charset="0"/>
              <a:cs typeface="Arial" panose="020B0604020202020204" pitchFamily="34" charset="0"/>
            </a:rPr>
            <a:t>Is the development the first residential unit on a vacant title?</a:t>
          </a:r>
          <a:endParaRPr lang="en-NZ" sz="1050"/>
        </a:p>
      </xdr:txBody>
    </xdr:sp>
    <xdr:clientData/>
  </xdr:twoCellAnchor>
  <xdr:twoCellAnchor>
    <xdr:from>
      <xdr:col>6</xdr:col>
      <xdr:colOff>366953</xdr:colOff>
      <xdr:row>39</xdr:row>
      <xdr:rowOff>87733</xdr:rowOff>
    </xdr:from>
    <xdr:to>
      <xdr:col>6</xdr:col>
      <xdr:colOff>373644</xdr:colOff>
      <xdr:row>42</xdr:row>
      <xdr:rowOff>136814</xdr:rowOff>
    </xdr:to>
    <xdr:cxnSp macro="">
      <xdr:nvCxnSpPr>
        <xdr:cNvPr id="61" name="Straight Arrow Connector 60">
          <a:extLst>
            <a:ext uri="{FF2B5EF4-FFF2-40B4-BE49-F238E27FC236}">
              <a16:creationId xmlns:a16="http://schemas.microsoft.com/office/drawing/2014/main" id="{00000000-0008-0000-0000-00003D000000}"/>
            </a:ext>
          </a:extLst>
        </xdr:cNvPr>
        <xdr:cNvCxnSpPr>
          <a:stCxn id="58" idx="2"/>
        </xdr:cNvCxnSpPr>
      </xdr:nvCxnSpPr>
      <xdr:spPr>
        <a:xfrm>
          <a:off x="3393786" y="8596733"/>
          <a:ext cx="6691" cy="54438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164225</xdr:colOff>
      <xdr:row>40</xdr:row>
      <xdr:rowOff>72259</xdr:rowOff>
    </xdr:from>
    <xdr:to>
      <xdr:col>6</xdr:col>
      <xdr:colOff>583325</xdr:colOff>
      <xdr:row>41</xdr:row>
      <xdr:rowOff>99521</xdr:rowOff>
    </xdr:to>
    <xdr:sp macro="" textlink="">
      <xdr:nvSpPr>
        <xdr:cNvPr id="104" name="TextBox 103">
          <a:extLst>
            <a:ext uri="{FF2B5EF4-FFF2-40B4-BE49-F238E27FC236}">
              <a16:creationId xmlns:a16="http://schemas.microsoft.com/office/drawing/2014/main" id="{00000000-0008-0000-0000-000068000000}"/>
            </a:ext>
          </a:extLst>
        </xdr:cNvPr>
        <xdr:cNvSpPr txBox="1"/>
      </xdr:nvSpPr>
      <xdr:spPr>
        <a:xfrm>
          <a:off x="2752397" y="5925207"/>
          <a:ext cx="419100" cy="1914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800" b="1">
              <a:latin typeface="Arial" panose="020B0604020202020204" pitchFamily="34" charset="0"/>
              <a:cs typeface="Arial" panose="020B0604020202020204" pitchFamily="34" charset="0"/>
            </a:rPr>
            <a:t>Yes</a:t>
          </a:r>
        </a:p>
      </xdr:txBody>
    </xdr:sp>
    <xdr:clientData/>
  </xdr:twoCellAnchor>
  <xdr:twoCellAnchor>
    <xdr:from>
      <xdr:col>7</xdr:col>
      <xdr:colOff>524115</xdr:colOff>
      <xdr:row>37</xdr:row>
      <xdr:rowOff>66408</xdr:rowOff>
    </xdr:from>
    <xdr:to>
      <xdr:col>9</xdr:col>
      <xdr:colOff>396870</xdr:colOff>
      <xdr:row>37</xdr:row>
      <xdr:rowOff>72767</xdr:rowOff>
    </xdr:to>
    <xdr:cxnSp macro="">
      <xdr:nvCxnSpPr>
        <xdr:cNvPr id="107" name="Straight Arrow Connector 106">
          <a:extLst>
            <a:ext uri="{FF2B5EF4-FFF2-40B4-BE49-F238E27FC236}">
              <a16:creationId xmlns:a16="http://schemas.microsoft.com/office/drawing/2014/main" id="{00000000-0008-0000-0000-00006B000000}"/>
            </a:ext>
          </a:extLst>
        </xdr:cNvPr>
        <xdr:cNvCxnSpPr>
          <a:stCxn id="58" idx="3"/>
          <a:endCxn id="110" idx="1"/>
        </xdr:cNvCxnSpPr>
      </xdr:nvCxnSpPr>
      <xdr:spPr>
        <a:xfrm flipV="1">
          <a:off x="4215582" y="8257908"/>
          <a:ext cx="1202021" cy="635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179662</xdr:colOff>
      <xdr:row>36</xdr:row>
      <xdr:rowOff>165089</xdr:rowOff>
    </xdr:from>
    <xdr:to>
      <xdr:col>8</xdr:col>
      <xdr:colOff>653795</xdr:colOff>
      <xdr:row>38</xdr:row>
      <xdr:rowOff>1851</xdr:rowOff>
    </xdr:to>
    <xdr:sp macro="" textlink="">
      <xdr:nvSpPr>
        <xdr:cNvPr id="105" name="TextBox 104">
          <a:extLst>
            <a:ext uri="{FF2B5EF4-FFF2-40B4-BE49-F238E27FC236}">
              <a16:creationId xmlns:a16="http://schemas.microsoft.com/office/drawing/2014/main" id="{00000000-0008-0000-0000-000069000000}"/>
            </a:ext>
          </a:extLst>
        </xdr:cNvPr>
        <xdr:cNvSpPr txBox="1"/>
      </xdr:nvSpPr>
      <xdr:spPr>
        <a:xfrm>
          <a:off x="4535762" y="6879156"/>
          <a:ext cx="474133" cy="1881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800" b="1">
              <a:latin typeface="Arial" panose="020B0604020202020204" pitchFamily="34" charset="0"/>
              <a:cs typeface="Arial" panose="020B0604020202020204" pitchFamily="34" charset="0"/>
            </a:rPr>
            <a:t>No</a:t>
          </a:r>
        </a:p>
      </xdr:txBody>
    </xdr:sp>
    <xdr:clientData/>
  </xdr:twoCellAnchor>
  <xdr:twoCellAnchor>
    <xdr:from>
      <xdr:col>9</xdr:col>
      <xdr:colOff>396870</xdr:colOff>
      <xdr:row>35</xdr:row>
      <xdr:rowOff>0</xdr:rowOff>
    </xdr:from>
    <xdr:to>
      <xdr:col>12</xdr:col>
      <xdr:colOff>625470</xdr:colOff>
      <xdr:row>40</xdr:row>
      <xdr:rowOff>120124</xdr:rowOff>
    </xdr:to>
    <xdr:sp macro="" textlink="">
      <xdr:nvSpPr>
        <xdr:cNvPr id="110" name="Rounded Rectangle 109">
          <a:extLst>
            <a:ext uri="{FF2B5EF4-FFF2-40B4-BE49-F238E27FC236}">
              <a16:creationId xmlns:a16="http://schemas.microsoft.com/office/drawing/2014/main" id="{00000000-0008-0000-0000-00006E000000}"/>
            </a:ext>
          </a:extLst>
        </xdr:cNvPr>
        <xdr:cNvSpPr/>
      </xdr:nvSpPr>
      <xdr:spPr>
        <a:xfrm>
          <a:off x="5417603" y="7730058"/>
          <a:ext cx="2222500" cy="105569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NZ" sz="1000">
              <a:effectLst/>
              <a:latin typeface="Arial" panose="020B0604020202020204" pitchFamily="34" charset="0"/>
              <a:cs typeface="Arial" panose="020B0604020202020204" pitchFamily="34" charset="0"/>
            </a:rPr>
            <a:t>Does the</a:t>
          </a:r>
          <a:r>
            <a:rPr lang="en-NZ" sz="1000" baseline="0">
              <a:effectLst/>
              <a:latin typeface="Arial" panose="020B0604020202020204" pitchFamily="34" charset="0"/>
              <a:cs typeface="Arial" panose="020B0604020202020204" pitchFamily="34" charset="0"/>
            </a:rPr>
            <a:t> development create new residential units on one title over and above 1 HUD, or above what has already been paid</a:t>
          </a:r>
          <a:r>
            <a:rPr lang="en-NZ" sz="1000">
              <a:effectLst/>
              <a:latin typeface="Arial" panose="020B0604020202020204" pitchFamily="34" charset="0"/>
              <a:cs typeface="Arial" panose="020B0604020202020204" pitchFamily="34" charset="0"/>
            </a:rPr>
            <a:t>?</a:t>
          </a:r>
        </a:p>
      </xdr:txBody>
    </xdr:sp>
    <xdr:clientData/>
  </xdr:twoCellAnchor>
  <xdr:twoCellAnchor>
    <xdr:from>
      <xdr:col>11</xdr:col>
      <xdr:colOff>207359</xdr:colOff>
      <xdr:row>39</xdr:row>
      <xdr:rowOff>152699</xdr:rowOff>
    </xdr:from>
    <xdr:to>
      <xdr:col>11</xdr:col>
      <xdr:colOff>220133</xdr:colOff>
      <xdr:row>43</xdr:row>
      <xdr:rowOff>532</xdr:rowOff>
    </xdr:to>
    <xdr:cxnSp macro="">
      <xdr:nvCxnSpPr>
        <xdr:cNvPr id="111" name="Straight Arrow Connector 110">
          <a:extLst>
            <a:ext uri="{FF2B5EF4-FFF2-40B4-BE49-F238E27FC236}">
              <a16:creationId xmlns:a16="http://schemas.microsoft.com/office/drawing/2014/main" id="{00000000-0008-0000-0000-00006F000000}"/>
            </a:ext>
          </a:extLst>
        </xdr:cNvPr>
        <xdr:cNvCxnSpPr/>
      </xdr:nvCxnSpPr>
      <xdr:spPr>
        <a:xfrm>
          <a:off x="6557359" y="8661699"/>
          <a:ext cx="12774" cy="504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629378</xdr:colOff>
      <xdr:row>41</xdr:row>
      <xdr:rowOff>42444</xdr:rowOff>
    </xdr:from>
    <xdr:to>
      <xdr:col>11</xdr:col>
      <xdr:colOff>438878</xdr:colOff>
      <xdr:row>42</xdr:row>
      <xdr:rowOff>69706</xdr:rowOff>
    </xdr:to>
    <xdr:sp macro="" textlink="">
      <xdr:nvSpPr>
        <xdr:cNvPr id="112" name="TextBox 111">
          <a:extLst>
            <a:ext uri="{FF2B5EF4-FFF2-40B4-BE49-F238E27FC236}">
              <a16:creationId xmlns:a16="http://schemas.microsoft.com/office/drawing/2014/main" id="{00000000-0008-0000-0000-000070000000}"/>
            </a:ext>
          </a:extLst>
        </xdr:cNvPr>
        <xdr:cNvSpPr txBox="1"/>
      </xdr:nvSpPr>
      <xdr:spPr>
        <a:xfrm>
          <a:off x="6314745" y="8864711"/>
          <a:ext cx="474133" cy="2092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800" b="1">
              <a:latin typeface="Arial" panose="020B0604020202020204" pitchFamily="34" charset="0"/>
              <a:cs typeface="Arial" panose="020B0604020202020204" pitchFamily="34" charset="0"/>
            </a:rPr>
            <a:t>Yes</a:t>
          </a:r>
        </a:p>
      </xdr:txBody>
    </xdr:sp>
    <xdr:clientData/>
  </xdr:twoCellAnchor>
  <xdr:twoCellAnchor>
    <xdr:from>
      <xdr:col>12</xdr:col>
      <xdr:colOff>625470</xdr:colOff>
      <xdr:row>37</xdr:row>
      <xdr:rowOff>66408</xdr:rowOff>
    </xdr:from>
    <xdr:to>
      <xdr:col>14</xdr:col>
      <xdr:colOff>21166</xdr:colOff>
      <xdr:row>37</xdr:row>
      <xdr:rowOff>74618</xdr:rowOff>
    </xdr:to>
    <xdr:cxnSp macro="">
      <xdr:nvCxnSpPr>
        <xdr:cNvPr id="113" name="Straight Arrow Connector 112">
          <a:extLst>
            <a:ext uri="{FF2B5EF4-FFF2-40B4-BE49-F238E27FC236}">
              <a16:creationId xmlns:a16="http://schemas.microsoft.com/office/drawing/2014/main" id="{00000000-0008-0000-0000-000071000000}"/>
            </a:ext>
          </a:extLst>
        </xdr:cNvPr>
        <xdr:cNvCxnSpPr>
          <a:stCxn id="110" idx="3"/>
          <a:endCxn id="59" idx="2"/>
        </xdr:cNvCxnSpPr>
      </xdr:nvCxnSpPr>
      <xdr:spPr>
        <a:xfrm>
          <a:off x="7640103" y="8257908"/>
          <a:ext cx="724963" cy="821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81778</xdr:colOff>
      <xdr:row>36</xdr:row>
      <xdr:rowOff>173556</xdr:rowOff>
    </xdr:from>
    <xdr:to>
      <xdr:col>13</xdr:col>
      <xdr:colOff>500878</xdr:colOff>
      <xdr:row>38</xdr:row>
      <xdr:rowOff>10318</xdr:rowOff>
    </xdr:to>
    <xdr:sp macro="" textlink="">
      <xdr:nvSpPr>
        <xdr:cNvPr id="114" name="TextBox 113">
          <a:extLst>
            <a:ext uri="{FF2B5EF4-FFF2-40B4-BE49-F238E27FC236}">
              <a16:creationId xmlns:a16="http://schemas.microsoft.com/office/drawing/2014/main" id="{00000000-0008-0000-0000-000072000000}"/>
            </a:ext>
          </a:extLst>
        </xdr:cNvPr>
        <xdr:cNvSpPr txBox="1"/>
      </xdr:nvSpPr>
      <xdr:spPr>
        <a:xfrm>
          <a:off x="7761045" y="8174556"/>
          <a:ext cx="419100" cy="1881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NZ" sz="800" b="1">
              <a:latin typeface="Arial" panose="020B0604020202020204" pitchFamily="34" charset="0"/>
              <a:cs typeface="Arial" panose="020B0604020202020204" pitchFamily="34" charset="0"/>
            </a:rPr>
            <a:t>No</a:t>
          </a:r>
        </a:p>
      </xdr:txBody>
    </xdr:sp>
    <xdr:clientData/>
  </xdr:twoCellAnchor>
  <xdr:twoCellAnchor>
    <xdr:from>
      <xdr:col>5</xdr:col>
      <xdr:colOff>366953</xdr:colOff>
      <xdr:row>42</xdr:row>
      <xdr:rowOff>139700</xdr:rowOff>
    </xdr:from>
    <xdr:to>
      <xdr:col>7</xdr:col>
      <xdr:colOff>366952</xdr:colOff>
      <xdr:row>46</xdr:row>
      <xdr:rowOff>0</xdr:rowOff>
    </xdr:to>
    <xdr:sp macro="" textlink="">
      <xdr:nvSpPr>
        <xdr:cNvPr id="55" name="Oval 54">
          <a:extLst>
            <a:ext uri="{FF2B5EF4-FFF2-40B4-BE49-F238E27FC236}">
              <a16:creationId xmlns:a16="http://schemas.microsoft.com/office/drawing/2014/main" id="{86189789-0340-4948-8038-214987A80343}"/>
            </a:ext>
          </a:extLst>
        </xdr:cNvPr>
        <xdr:cNvSpPr/>
      </xdr:nvSpPr>
      <xdr:spPr>
        <a:xfrm>
          <a:off x="2729153" y="9144000"/>
          <a:ext cx="1329266" cy="503767"/>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NZ" sz="900">
              <a:latin typeface="Arial" panose="020B0604020202020204" pitchFamily="34" charset="0"/>
              <a:cs typeface="Arial" panose="020B0604020202020204" pitchFamily="34" charset="0"/>
            </a:rPr>
            <a:t>No further contributions payable</a:t>
          </a:r>
        </a:p>
      </xdr:txBody>
    </xdr:sp>
    <xdr:clientData/>
  </xdr:twoCellAnchor>
  <xdr:twoCellAnchor>
    <xdr:from>
      <xdr:col>14</xdr:col>
      <xdr:colOff>21166</xdr:colOff>
      <xdr:row>36</xdr:row>
      <xdr:rowOff>4239</xdr:rowOff>
    </xdr:from>
    <xdr:to>
      <xdr:col>16</xdr:col>
      <xdr:colOff>21165</xdr:colOff>
      <xdr:row>39</xdr:row>
      <xdr:rowOff>17997</xdr:rowOff>
    </xdr:to>
    <xdr:sp macro="" textlink="">
      <xdr:nvSpPr>
        <xdr:cNvPr id="59" name="Oval 58">
          <a:extLst>
            <a:ext uri="{FF2B5EF4-FFF2-40B4-BE49-F238E27FC236}">
              <a16:creationId xmlns:a16="http://schemas.microsoft.com/office/drawing/2014/main" id="{7A0C7CAA-09D4-4AA2-A5AF-637BC7A116CA}"/>
            </a:ext>
          </a:extLst>
        </xdr:cNvPr>
        <xdr:cNvSpPr/>
      </xdr:nvSpPr>
      <xdr:spPr>
        <a:xfrm>
          <a:off x="8365066" y="8005239"/>
          <a:ext cx="1329266" cy="521758"/>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NZ" sz="900">
              <a:latin typeface="Arial" panose="020B0604020202020204" pitchFamily="34" charset="0"/>
              <a:cs typeface="Arial" panose="020B0604020202020204" pitchFamily="34" charset="0"/>
            </a:rPr>
            <a:t>No further contributions payable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23812</xdr:colOff>
      <xdr:row>24</xdr:row>
      <xdr:rowOff>11906</xdr:rowOff>
    </xdr:from>
    <xdr:to>
      <xdr:col>1</xdr:col>
      <xdr:colOff>7215188</xdr:colOff>
      <xdr:row>25</xdr:row>
      <xdr:rowOff>438274</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tretch>
          <a:fillRect/>
        </a:stretch>
      </xdr:blipFill>
      <xdr:spPr>
        <a:xfrm>
          <a:off x="631031" y="2893219"/>
          <a:ext cx="7191376" cy="616868"/>
        </a:xfrm>
        <a:prstGeom prst="rect">
          <a:avLst/>
        </a:prstGeom>
      </xdr:spPr>
    </xdr:pic>
    <xdr:clientData/>
  </xdr:twoCellAnchor>
  <xdr:twoCellAnchor editAs="oneCell">
    <xdr:from>
      <xdr:col>1</xdr:col>
      <xdr:colOff>0</xdr:colOff>
      <xdr:row>4</xdr:row>
      <xdr:rowOff>0</xdr:rowOff>
    </xdr:from>
    <xdr:to>
      <xdr:col>1</xdr:col>
      <xdr:colOff>5467350</xdr:colOff>
      <xdr:row>15</xdr:row>
      <xdr:rowOff>61913</xdr:rowOff>
    </xdr:to>
    <xdr:pic>
      <xdr:nvPicPr>
        <xdr:cNvPr id="3" name="Picture 2">
          <a:extLst>
            <a:ext uri="{FF2B5EF4-FFF2-40B4-BE49-F238E27FC236}">
              <a16:creationId xmlns:a16="http://schemas.microsoft.com/office/drawing/2014/main" id="{D9EC8663-0541-4981-B7C1-6C802717E3F5}"/>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38013" b="11244"/>
        <a:stretch/>
      </xdr:blipFill>
      <xdr:spPr bwMode="auto">
        <a:xfrm>
          <a:off x="638175" y="1162050"/>
          <a:ext cx="5467350" cy="2052638"/>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6886575</xdr:colOff>
      <xdr:row>4</xdr:row>
      <xdr:rowOff>23813</xdr:rowOff>
    </xdr:from>
    <xdr:to>
      <xdr:col>1</xdr:col>
      <xdr:colOff>11049000</xdr:colOff>
      <xdr:row>17</xdr:row>
      <xdr:rowOff>19050</xdr:rowOff>
    </xdr:to>
    <xdr:pic>
      <xdr:nvPicPr>
        <xdr:cNvPr id="4" name="Picture 3">
          <a:extLst>
            <a:ext uri="{FF2B5EF4-FFF2-40B4-BE49-F238E27FC236}">
              <a16:creationId xmlns:a16="http://schemas.microsoft.com/office/drawing/2014/main" id="{54D4E287-F7B3-49BF-B2AE-1815CBCAD0A3}"/>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52808" b="10817"/>
        <a:stretch/>
      </xdr:blipFill>
      <xdr:spPr bwMode="auto">
        <a:xfrm>
          <a:off x="7524750" y="1185863"/>
          <a:ext cx="4162425" cy="2347912"/>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590549</xdr:colOff>
      <xdr:row>2</xdr:row>
      <xdr:rowOff>38100</xdr:rowOff>
    </xdr:from>
    <xdr:to>
      <xdr:col>17</xdr:col>
      <xdr:colOff>312101</xdr:colOff>
      <xdr:row>32</xdr:row>
      <xdr:rowOff>858520</xdr:rowOff>
    </xdr:to>
    <xdr:pic>
      <xdr:nvPicPr>
        <xdr:cNvPr id="5" name="Picture 4" descr="C:\Users\lisag\Objective\objapp-8008\Objects\GIS POLICY &amp; PLANNING - Draft Policy on Development Contributions and Financial Contributions 2015 and 2018 Map JPEG (A1330350).jpg">
          <a:extLst>
            <a:ext uri="{FF2B5EF4-FFF2-40B4-BE49-F238E27FC236}">
              <a16:creationId xmlns:a16="http://schemas.microsoft.com/office/drawing/2014/main" id="{58DD4F35-018D-44B8-87FA-C950B59597C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4732" t="3521"/>
        <a:stretch/>
      </xdr:blipFill>
      <xdr:spPr bwMode="auto">
        <a:xfrm>
          <a:off x="16130587" y="285750"/>
          <a:ext cx="5465127" cy="783082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7"/>
  <sheetViews>
    <sheetView tabSelected="1" zoomScale="90" zoomScaleNormal="90" workbookViewId="0">
      <selection activeCell="D24" sqref="D24:E28"/>
    </sheetView>
  </sheetViews>
  <sheetFormatPr defaultColWidth="9.15625" defaultRowHeight="12.3" x14ac:dyDescent="0.4"/>
  <cols>
    <col min="1" max="1" width="3.41796875" style="33" customWidth="1"/>
    <col min="2" max="2" width="3.68359375" style="33" customWidth="1"/>
    <col min="3" max="3" width="10.15625" style="33" customWidth="1"/>
    <col min="4" max="4" width="6.15625" style="33" customWidth="1"/>
    <col min="5" max="17" width="9.15625" style="33"/>
    <col min="18" max="18" width="10.26171875" style="33" customWidth="1"/>
    <col min="19" max="19" width="3.41796875" style="33" customWidth="1"/>
    <col min="20" max="16384" width="9.15625" style="33"/>
  </cols>
  <sheetData>
    <row r="1" spans="2:18" ht="12.6" thickBot="1" x14ac:dyDescent="0.45"/>
    <row r="2" spans="2:18" ht="25.5" thickBot="1" x14ac:dyDescent="0.9">
      <c r="B2" s="67" t="s">
        <v>127</v>
      </c>
      <c r="C2" s="68"/>
      <c r="D2" s="68"/>
      <c r="E2" s="68"/>
      <c r="F2" s="68"/>
      <c r="G2" s="68"/>
      <c r="H2" s="68"/>
      <c r="I2" s="68"/>
      <c r="J2" s="68"/>
      <c r="K2" s="68"/>
      <c r="L2" s="68"/>
      <c r="M2" s="68"/>
      <c r="N2" s="68"/>
      <c r="O2" s="68"/>
      <c r="P2" s="68"/>
      <c r="Q2" s="68"/>
      <c r="R2" s="69"/>
    </row>
    <row r="3" spans="2:18" x14ac:dyDescent="0.4">
      <c r="B3" s="44"/>
      <c r="C3" s="51" t="s">
        <v>63</v>
      </c>
      <c r="D3" s="46"/>
      <c r="E3" s="46"/>
      <c r="F3" s="46"/>
      <c r="G3" s="46"/>
      <c r="H3" s="46"/>
      <c r="I3" s="46"/>
      <c r="J3" s="46"/>
      <c r="K3" s="46"/>
      <c r="L3" s="46"/>
      <c r="M3" s="46"/>
      <c r="N3" s="46"/>
      <c r="O3" s="46"/>
      <c r="P3" s="46"/>
      <c r="Q3" s="46"/>
      <c r="R3" s="47"/>
    </row>
    <row r="4" spans="2:18" ht="18.75" customHeight="1" x14ac:dyDescent="0.4">
      <c r="B4" s="44"/>
      <c r="C4" s="113" t="s">
        <v>110</v>
      </c>
      <c r="D4" s="113"/>
      <c r="E4" s="113"/>
      <c r="F4" s="113"/>
      <c r="G4" s="113"/>
      <c r="H4" s="113"/>
      <c r="I4" s="113"/>
      <c r="J4" s="113"/>
      <c r="K4" s="113"/>
      <c r="L4" s="113"/>
      <c r="M4" s="113"/>
      <c r="N4" s="113"/>
      <c r="O4" s="113"/>
      <c r="P4" s="113"/>
      <c r="Q4" s="113"/>
      <c r="R4" s="114"/>
    </row>
    <row r="5" spans="2:18" ht="18.75" customHeight="1" thickBot="1" x14ac:dyDescent="0.45">
      <c r="B5" s="45"/>
      <c r="C5" s="115"/>
      <c r="D5" s="115"/>
      <c r="E5" s="115"/>
      <c r="F5" s="115"/>
      <c r="G5" s="115"/>
      <c r="H5" s="115"/>
      <c r="I5" s="115"/>
      <c r="J5" s="115"/>
      <c r="K5" s="115"/>
      <c r="L5" s="115"/>
      <c r="M5" s="115"/>
      <c r="N5" s="115"/>
      <c r="O5" s="115"/>
      <c r="P5" s="115"/>
      <c r="Q5" s="115"/>
      <c r="R5" s="116"/>
    </row>
    <row r="6" spans="2:18" ht="9.3000000000000007" customHeight="1" thickBot="1" x14ac:dyDescent="0.45"/>
    <row r="7" spans="2:18" x14ac:dyDescent="0.4">
      <c r="B7" s="40"/>
      <c r="C7" s="41" t="s">
        <v>54</v>
      </c>
      <c r="D7" s="42"/>
      <c r="E7" s="42"/>
      <c r="F7" s="42"/>
      <c r="G7" s="42"/>
      <c r="H7" s="42"/>
      <c r="I7" s="42"/>
      <c r="J7" s="42"/>
      <c r="K7" s="42"/>
      <c r="L7" s="42"/>
      <c r="M7" s="42"/>
      <c r="N7" s="42"/>
      <c r="O7" s="42"/>
      <c r="P7" s="42"/>
      <c r="Q7" s="42"/>
      <c r="R7" s="43"/>
    </row>
    <row r="8" spans="2:18" x14ac:dyDescent="0.4">
      <c r="B8" s="44"/>
      <c r="C8" s="46" t="s">
        <v>66</v>
      </c>
      <c r="D8" s="46"/>
      <c r="E8" s="46"/>
      <c r="F8" s="46"/>
      <c r="G8" s="46"/>
      <c r="H8" s="46"/>
      <c r="I8" s="46"/>
      <c r="J8" s="46"/>
      <c r="K8" s="46"/>
      <c r="L8" s="46"/>
      <c r="M8" s="46"/>
      <c r="N8" s="46"/>
      <c r="O8" s="46"/>
      <c r="P8" s="46"/>
      <c r="Q8" s="46"/>
      <c r="R8" s="47"/>
    </row>
    <row r="9" spans="2:18" x14ac:dyDescent="0.4">
      <c r="B9" s="44"/>
      <c r="C9" s="46" t="s">
        <v>67</v>
      </c>
      <c r="D9" s="46"/>
      <c r="E9" s="46"/>
      <c r="F9" s="46"/>
      <c r="G9" s="46"/>
      <c r="H9" s="46"/>
      <c r="I9" s="46"/>
      <c r="J9" s="46"/>
      <c r="K9" s="46"/>
      <c r="L9" s="46"/>
      <c r="M9" s="46"/>
      <c r="N9" s="46"/>
      <c r="O9" s="46"/>
      <c r="P9" s="46"/>
      <c r="Q9" s="46"/>
      <c r="R9" s="47"/>
    </row>
    <row r="10" spans="2:18" ht="12.6" thickBot="1" x14ac:dyDescent="0.45">
      <c r="B10" s="45"/>
      <c r="C10" s="48" t="s">
        <v>64</v>
      </c>
      <c r="D10" s="48"/>
      <c r="E10" s="48"/>
      <c r="F10" s="48"/>
      <c r="G10" s="48"/>
      <c r="H10" s="48"/>
      <c r="I10" s="48"/>
      <c r="J10" s="48"/>
      <c r="K10" s="48"/>
      <c r="L10" s="48"/>
      <c r="M10" s="48"/>
      <c r="N10" s="48"/>
      <c r="O10" s="48"/>
      <c r="P10" s="48"/>
      <c r="Q10" s="48"/>
      <c r="R10" s="49"/>
    </row>
    <row r="11" spans="2:18" ht="6" customHeight="1" thickBot="1" x14ac:dyDescent="0.45"/>
    <row r="12" spans="2:18" x14ac:dyDescent="0.4">
      <c r="B12" s="50">
        <v>1</v>
      </c>
      <c r="C12" s="41" t="s">
        <v>20</v>
      </c>
      <c r="D12" s="42"/>
      <c r="E12" s="42"/>
      <c r="F12" s="42"/>
      <c r="G12" s="42"/>
      <c r="H12" s="42"/>
      <c r="I12" s="42"/>
      <c r="J12" s="42"/>
      <c r="K12" s="42"/>
      <c r="L12" s="42"/>
      <c r="M12" s="42"/>
      <c r="N12" s="42"/>
      <c r="O12" s="42"/>
      <c r="P12" s="42"/>
      <c r="Q12" s="42"/>
      <c r="R12" s="43"/>
    </row>
    <row r="13" spans="2:18" x14ac:dyDescent="0.4">
      <c r="B13" s="44"/>
      <c r="C13" s="46"/>
      <c r="D13" s="117" t="s">
        <v>125</v>
      </c>
      <c r="E13" s="117"/>
      <c r="F13" s="117"/>
      <c r="G13" s="117"/>
      <c r="H13" s="117"/>
      <c r="I13" s="117"/>
      <c r="J13" s="46"/>
      <c r="K13" s="46"/>
      <c r="L13" s="46"/>
      <c r="M13" s="46"/>
      <c r="N13" s="46"/>
      <c r="O13" s="46"/>
      <c r="P13" s="46"/>
      <c r="Q13" s="46"/>
      <c r="R13" s="47"/>
    </row>
    <row r="14" spans="2:18" x14ac:dyDescent="0.4">
      <c r="B14" s="44"/>
      <c r="C14" s="46"/>
      <c r="D14" s="117" t="s">
        <v>126</v>
      </c>
      <c r="E14" s="117"/>
      <c r="F14" s="117"/>
      <c r="G14" s="117"/>
      <c r="H14" s="117"/>
      <c r="I14" s="117"/>
      <c r="J14" s="46"/>
      <c r="K14" s="46"/>
      <c r="L14" s="46"/>
      <c r="M14" s="46"/>
      <c r="N14" s="46"/>
      <c r="O14" s="46"/>
      <c r="P14" s="46"/>
      <c r="Q14" s="46"/>
      <c r="R14" s="47"/>
    </row>
    <row r="15" spans="2:18" ht="6" customHeight="1" x14ac:dyDescent="0.55000000000000004">
      <c r="B15" s="44"/>
      <c r="C15" s="64"/>
      <c r="D15" s="64"/>
      <c r="E15" s="64"/>
      <c r="F15" s="64"/>
      <c r="G15" s="64"/>
      <c r="H15" s="64"/>
      <c r="I15" s="64"/>
      <c r="J15" s="64"/>
      <c r="K15" s="64"/>
      <c r="L15" s="46"/>
      <c r="M15" s="46"/>
      <c r="N15" s="46"/>
      <c r="O15" s="46"/>
      <c r="P15" s="46"/>
      <c r="Q15" s="46"/>
      <c r="R15" s="47"/>
    </row>
    <row r="16" spans="2:18" x14ac:dyDescent="0.4">
      <c r="B16" s="44"/>
      <c r="C16" s="46"/>
      <c r="D16" s="51" t="s">
        <v>19</v>
      </c>
      <c r="E16" s="46"/>
      <c r="F16" s="46"/>
      <c r="G16" s="46"/>
      <c r="H16" s="46"/>
      <c r="I16" s="46"/>
      <c r="J16" s="46"/>
      <c r="K16" s="46"/>
      <c r="L16" s="46"/>
      <c r="M16" s="46"/>
      <c r="N16" s="46"/>
      <c r="O16" s="46"/>
      <c r="P16" s="46"/>
      <c r="Q16" s="46"/>
      <c r="R16" s="47"/>
    </row>
    <row r="17" spans="1:18" x14ac:dyDescent="0.4">
      <c r="B17" s="44"/>
      <c r="C17" s="46"/>
      <c r="D17" s="89" t="s">
        <v>130</v>
      </c>
      <c r="E17" s="90"/>
      <c r="F17" s="90"/>
      <c r="G17" s="90"/>
      <c r="H17" s="90"/>
      <c r="I17" s="90"/>
      <c r="J17" s="91"/>
      <c r="K17" s="90"/>
      <c r="L17" s="90"/>
      <c r="M17" s="90"/>
      <c r="N17" s="90"/>
      <c r="O17" s="90"/>
      <c r="P17" s="90"/>
      <c r="Q17" s="90"/>
      <c r="R17" s="47"/>
    </row>
    <row r="18" spans="1:18" x14ac:dyDescent="0.4">
      <c r="B18" s="44"/>
      <c r="C18" s="46"/>
      <c r="D18" s="89" t="s">
        <v>65</v>
      </c>
      <c r="E18" s="90"/>
      <c r="F18" s="90"/>
      <c r="G18" s="90"/>
      <c r="H18" s="90"/>
      <c r="I18" s="90"/>
      <c r="J18" s="90"/>
      <c r="K18" s="90"/>
      <c r="L18" s="90"/>
      <c r="M18" s="90"/>
      <c r="N18" s="90"/>
      <c r="O18" s="90"/>
      <c r="P18" s="90"/>
      <c r="Q18" s="90"/>
      <c r="R18" s="47"/>
    </row>
    <row r="19" spans="1:18" x14ac:dyDescent="0.4">
      <c r="B19" s="44"/>
      <c r="C19" s="46"/>
      <c r="D19" s="89" t="s">
        <v>131</v>
      </c>
      <c r="E19" s="90"/>
      <c r="F19" s="90"/>
      <c r="G19" s="90"/>
      <c r="H19" s="90"/>
      <c r="I19" s="90"/>
      <c r="J19" s="90"/>
      <c r="K19" s="90"/>
      <c r="L19" s="90"/>
      <c r="M19" s="90"/>
      <c r="N19" s="90"/>
      <c r="O19" s="90"/>
      <c r="P19" s="90"/>
      <c r="Q19" s="90"/>
      <c r="R19" s="47"/>
    </row>
    <row r="20" spans="1:18" ht="22.8" customHeight="1" thickBot="1" x14ac:dyDescent="0.45">
      <c r="A20" s="46"/>
      <c r="B20" s="45"/>
      <c r="C20" s="48"/>
      <c r="D20" s="118" t="s">
        <v>137</v>
      </c>
      <c r="E20" s="118"/>
      <c r="F20" s="118"/>
      <c r="G20" s="118"/>
      <c r="H20" s="118"/>
      <c r="I20" s="118"/>
      <c r="J20" s="118"/>
      <c r="K20" s="118"/>
      <c r="L20" s="118"/>
      <c r="M20" s="118"/>
      <c r="N20" s="118"/>
      <c r="O20" s="118"/>
      <c r="P20" s="118"/>
      <c r="Q20" s="118"/>
      <c r="R20" s="49"/>
    </row>
    <row r="21" spans="1:18" ht="6.75" customHeight="1" thickBot="1" x14ac:dyDescent="0.45">
      <c r="A21" s="46"/>
      <c r="E21" s="52"/>
    </row>
    <row r="22" spans="1:18" ht="15" x14ac:dyDescent="0.5">
      <c r="A22" s="46"/>
      <c r="B22" s="40"/>
      <c r="C22" s="42"/>
      <c r="D22" s="76" t="s">
        <v>18</v>
      </c>
      <c r="E22" s="75"/>
      <c r="F22" s="75"/>
      <c r="G22" s="75"/>
      <c r="H22" s="42"/>
      <c r="I22" s="42"/>
      <c r="J22" s="42"/>
      <c r="K22" s="42"/>
      <c r="L22" s="42"/>
      <c r="M22" s="42"/>
      <c r="N22" s="42"/>
      <c r="O22" s="42"/>
      <c r="P22" s="42"/>
      <c r="Q22" s="42"/>
      <c r="R22" s="43"/>
    </row>
    <row r="23" spans="1:18" x14ac:dyDescent="0.4">
      <c r="A23" s="46"/>
      <c r="B23" s="44"/>
      <c r="C23" s="46"/>
      <c r="D23" s="46"/>
      <c r="E23" s="46"/>
      <c r="F23" s="46"/>
      <c r="G23" s="46"/>
      <c r="H23" s="46"/>
      <c r="I23" s="46"/>
      <c r="J23" s="46"/>
      <c r="K23" s="46"/>
      <c r="L23" s="46"/>
      <c r="M23" s="46"/>
      <c r="N23" s="46"/>
      <c r="O23" s="46"/>
      <c r="P23" s="46"/>
      <c r="Q23" s="46"/>
      <c r="R23" s="47"/>
    </row>
    <row r="24" spans="1:18" ht="12.3" customHeight="1" x14ac:dyDescent="0.4">
      <c r="A24" s="46"/>
      <c r="B24" s="44"/>
      <c r="C24" s="46"/>
      <c r="D24" s="119" t="s">
        <v>145</v>
      </c>
      <c r="E24" s="119"/>
      <c r="F24" s="46"/>
      <c r="G24" s="46"/>
      <c r="H24" s="46"/>
      <c r="I24" s="46"/>
      <c r="J24" s="46"/>
      <c r="K24" s="46"/>
      <c r="L24" s="46"/>
      <c r="M24" s="46"/>
      <c r="N24" s="46"/>
      <c r="O24" s="46"/>
      <c r="P24" s="46"/>
      <c r="Q24" s="46"/>
      <c r="R24" s="47"/>
    </row>
    <row r="25" spans="1:18" x14ac:dyDescent="0.4">
      <c r="A25" s="46"/>
      <c r="B25" s="44"/>
      <c r="C25" s="46"/>
      <c r="D25" s="119"/>
      <c r="E25" s="119"/>
      <c r="F25" s="46"/>
      <c r="G25" s="46"/>
      <c r="H25" s="46"/>
      <c r="I25" s="46"/>
      <c r="J25" s="46"/>
      <c r="K25" s="46"/>
      <c r="L25" s="46"/>
      <c r="M25" s="46"/>
      <c r="N25" s="46"/>
      <c r="O25" s="46"/>
      <c r="P25" s="46"/>
      <c r="Q25" s="46"/>
      <c r="R25" s="47"/>
    </row>
    <row r="26" spans="1:18" x14ac:dyDescent="0.4">
      <c r="A26" s="46"/>
      <c r="B26" s="44"/>
      <c r="C26" s="46"/>
      <c r="D26" s="119"/>
      <c r="E26" s="119"/>
      <c r="F26" s="46"/>
      <c r="G26" s="46"/>
      <c r="H26" s="46"/>
      <c r="I26" s="46"/>
      <c r="J26" s="46"/>
      <c r="K26" s="46"/>
      <c r="L26" s="46"/>
      <c r="M26" s="46"/>
      <c r="N26" s="46"/>
      <c r="O26" s="46"/>
      <c r="P26" s="46"/>
      <c r="Q26" s="46"/>
      <c r="R26" s="47"/>
    </row>
    <row r="27" spans="1:18" x14ac:dyDescent="0.4">
      <c r="A27" s="46"/>
      <c r="B27" s="44"/>
      <c r="C27" s="46"/>
      <c r="D27" s="119"/>
      <c r="E27" s="119"/>
      <c r="F27" s="46"/>
      <c r="G27" s="46"/>
      <c r="H27" s="46"/>
      <c r="I27" s="46"/>
      <c r="J27" s="46"/>
      <c r="K27" s="46"/>
      <c r="L27" s="46"/>
      <c r="M27" s="46"/>
      <c r="N27" s="46"/>
      <c r="O27" s="46"/>
      <c r="P27" s="46"/>
      <c r="Q27" s="46"/>
      <c r="R27" s="47"/>
    </row>
    <row r="28" spans="1:18" x14ac:dyDescent="0.4">
      <c r="A28" s="46"/>
      <c r="B28" s="44"/>
      <c r="C28" s="46"/>
      <c r="D28" s="119"/>
      <c r="E28" s="119"/>
      <c r="F28" s="46"/>
      <c r="G28" s="46"/>
      <c r="H28" s="46"/>
      <c r="I28" s="46"/>
      <c r="J28" s="46"/>
      <c r="K28" s="46"/>
      <c r="L28" s="46"/>
      <c r="M28" s="46"/>
      <c r="N28" s="46"/>
      <c r="O28" s="46"/>
      <c r="P28" s="46"/>
      <c r="Q28" s="46"/>
      <c r="R28" s="47"/>
    </row>
    <row r="29" spans="1:18" x14ac:dyDescent="0.4">
      <c r="A29" s="46"/>
      <c r="B29" s="44"/>
      <c r="C29" s="46"/>
      <c r="D29" s="46"/>
      <c r="E29" s="46"/>
      <c r="F29" s="46"/>
      <c r="G29" s="46"/>
      <c r="H29" s="46"/>
      <c r="I29" s="46"/>
      <c r="J29" s="46"/>
      <c r="K29" s="46"/>
      <c r="L29" s="46"/>
      <c r="M29" s="46"/>
      <c r="N29" s="46"/>
      <c r="O29" s="46"/>
      <c r="P29" s="46"/>
      <c r="Q29" s="46"/>
      <c r="R29" s="47"/>
    </row>
    <row r="30" spans="1:18" ht="12.3" customHeight="1" x14ac:dyDescent="0.4">
      <c r="A30" s="46"/>
      <c r="B30" s="44"/>
      <c r="C30" s="46"/>
      <c r="D30" s="46"/>
      <c r="E30" s="46"/>
      <c r="F30" s="104" t="s">
        <v>133</v>
      </c>
      <c r="G30" s="105"/>
      <c r="H30" s="106"/>
      <c r="I30" s="46"/>
      <c r="J30" s="46"/>
      <c r="K30" s="46"/>
      <c r="L30" s="46"/>
      <c r="M30" s="46"/>
      <c r="N30" s="46"/>
      <c r="O30" s="46"/>
      <c r="P30" s="46"/>
      <c r="Q30" s="46"/>
      <c r="R30" s="47"/>
    </row>
    <row r="31" spans="1:18" ht="12.3" customHeight="1" x14ac:dyDescent="0.4">
      <c r="A31" s="46"/>
      <c r="B31" s="44"/>
      <c r="C31" s="46"/>
      <c r="D31" s="46"/>
      <c r="E31" s="46"/>
      <c r="F31" s="107"/>
      <c r="G31" s="108"/>
      <c r="H31" s="109"/>
      <c r="I31" s="46"/>
      <c r="J31" s="46"/>
      <c r="K31" s="46"/>
      <c r="L31" s="46"/>
      <c r="M31" s="46"/>
      <c r="N31" s="46"/>
      <c r="O31" s="46"/>
      <c r="P31" s="46"/>
      <c r="Q31" s="46"/>
      <c r="R31" s="47"/>
    </row>
    <row r="32" spans="1:18" ht="12.3" customHeight="1" x14ac:dyDescent="0.4">
      <c r="A32" s="46"/>
      <c r="B32" s="44"/>
      <c r="C32" s="46"/>
      <c r="D32" s="46"/>
      <c r="E32" s="46"/>
      <c r="F32" s="110"/>
      <c r="G32" s="111"/>
      <c r="H32" s="112"/>
      <c r="I32" s="46"/>
      <c r="J32" s="46"/>
      <c r="K32" s="46"/>
      <c r="L32" s="46"/>
      <c r="M32" s="46"/>
      <c r="N32" s="46"/>
      <c r="O32" s="46"/>
      <c r="P32" s="46"/>
      <c r="Q32" s="46"/>
      <c r="R32" s="47"/>
    </row>
    <row r="33" spans="1:18" ht="12.6" thickBot="1" x14ac:dyDescent="0.45">
      <c r="A33" s="46"/>
      <c r="B33" s="45"/>
      <c r="C33" s="48"/>
      <c r="D33" s="48"/>
      <c r="E33" s="48"/>
      <c r="F33" s="48"/>
      <c r="G33" s="48"/>
      <c r="H33" s="48"/>
      <c r="I33" s="48"/>
      <c r="J33" s="48"/>
      <c r="K33" s="48"/>
      <c r="L33" s="48"/>
      <c r="M33" s="48"/>
      <c r="N33" s="48"/>
      <c r="O33" s="48"/>
      <c r="P33" s="48"/>
      <c r="Q33" s="48"/>
      <c r="R33" s="49"/>
    </row>
    <row r="34" spans="1:18" ht="6.75" customHeight="1" thickBot="1" x14ac:dyDescent="0.45">
      <c r="A34" s="46"/>
      <c r="B34" s="46"/>
      <c r="C34" s="46"/>
      <c r="D34" s="46"/>
      <c r="E34" s="46"/>
      <c r="F34" s="46"/>
      <c r="G34" s="46"/>
      <c r="H34" s="46"/>
      <c r="I34" s="46"/>
      <c r="J34" s="46"/>
      <c r="K34" s="46"/>
      <c r="L34" s="46"/>
      <c r="M34" s="46"/>
      <c r="N34" s="46"/>
      <c r="O34" s="46"/>
      <c r="P34" s="46"/>
      <c r="Q34" s="46"/>
      <c r="R34" s="46"/>
    </row>
    <row r="35" spans="1:18" ht="12.3" customHeight="1" x14ac:dyDescent="0.5">
      <c r="A35" s="46"/>
      <c r="B35" s="40"/>
      <c r="C35" s="42"/>
      <c r="D35" s="76" t="s">
        <v>111</v>
      </c>
      <c r="E35" s="77"/>
      <c r="F35" s="77"/>
      <c r="G35" s="77"/>
      <c r="H35" s="77"/>
      <c r="I35" s="42"/>
      <c r="J35" s="42"/>
      <c r="K35" s="42"/>
      <c r="L35" s="42"/>
      <c r="M35" s="42"/>
      <c r="N35" s="42"/>
      <c r="O35" s="42"/>
      <c r="P35" s="42"/>
      <c r="Q35" s="42"/>
      <c r="R35" s="43"/>
    </row>
    <row r="36" spans="1:18" ht="12.3" customHeight="1" x14ac:dyDescent="0.4">
      <c r="A36" s="46"/>
      <c r="B36" s="44"/>
      <c r="C36" s="46"/>
      <c r="D36" s="46"/>
      <c r="E36" s="46"/>
      <c r="F36" s="46"/>
      <c r="G36" s="46"/>
      <c r="H36" s="46"/>
      <c r="I36" s="46"/>
      <c r="J36" s="46"/>
      <c r="K36" s="46"/>
      <c r="L36" s="46"/>
      <c r="M36" s="46"/>
      <c r="N36" s="46"/>
      <c r="O36" s="46"/>
      <c r="P36" s="46"/>
      <c r="Q36" s="46"/>
      <c r="R36" s="47"/>
    </row>
    <row r="37" spans="1:18" ht="15" customHeight="1" x14ac:dyDescent="0.4">
      <c r="B37" s="44"/>
      <c r="C37" s="46"/>
      <c r="D37" s="46"/>
      <c r="E37" s="46"/>
      <c r="F37" s="46"/>
      <c r="G37" s="46"/>
      <c r="H37" s="46"/>
      <c r="I37" s="46"/>
      <c r="J37" s="46"/>
      <c r="K37" s="46"/>
      <c r="L37" s="46"/>
      <c r="M37" s="46"/>
      <c r="N37" s="46"/>
      <c r="O37" s="46"/>
      <c r="P37" s="46"/>
      <c r="Q37" s="46"/>
      <c r="R37" s="47"/>
    </row>
    <row r="38" spans="1:18" ht="12.75" customHeight="1" x14ac:dyDescent="0.4">
      <c r="B38" s="44"/>
      <c r="C38" s="46"/>
      <c r="D38" s="46"/>
      <c r="E38" s="46"/>
      <c r="F38" s="46"/>
      <c r="G38" s="46"/>
      <c r="H38" s="46"/>
      <c r="I38" s="46"/>
      <c r="J38" s="46"/>
      <c r="K38" s="46"/>
      <c r="L38" s="46"/>
      <c r="M38" s="46"/>
      <c r="N38" s="46"/>
      <c r="O38" s="46"/>
      <c r="P38" s="46"/>
      <c r="Q38" s="46"/>
      <c r="R38" s="47"/>
    </row>
    <row r="39" spans="1:18" x14ac:dyDescent="0.4">
      <c r="B39" s="44"/>
      <c r="C39" s="46"/>
      <c r="D39" s="46"/>
      <c r="E39" s="46"/>
      <c r="F39" s="46"/>
      <c r="G39" s="46"/>
      <c r="H39" s="46"/>
      <c r="I39" s="46"/>
      <c r="J39" s="46"/>
      <c r="K39" s="46"/>
      <c r="L39" s="46"/>
      <c r="M39" s="46"/>
      <c r="N39" s="46"/>
      <c r="O39" s="46"/>
      <c r="P39" s="46"/>
      <c r="Q39" s="46"/>
      <c r="R39" s="47"/>
    </row>
    <row r="40" spans="1:18" x14ac:dyDescent="0.4">
      <c r="B40" s="44"/>
      <c r="C40" s="46"/>
      <c r="D40" s="46"/>
      <c r="E40" s="46"/>
      <c r="F40" s="46"/>
      <c r="G40" s="46"/>
      <c r="H40" s="46"/>
      <c r="I40" s="46"/>
      <c r="J40" s="46"/>
      <c r="K40" s="46"/>
      <c r="L40" s="46"/>
      <c r="M40" s="46"/>
      <c r="N40" s="46"/>
      <c r="O40" s="46"/>
      <c r="P40" s="46"/>
      <c r="Q40" s="46"/>
      <c r="R40" s="47"/>
    </row>
    <row r="41" spans="1:18" x14ac:dyDescent="0.4">
      <c r="B41" s="44"/>
      <c r="C41" s="46"/>
      <c r="D41" s="46"/>
      <c r="E41" s="46"/>
      <c r="F41" s="46"/>
      <c r="G41" s="46"/>
      <c r="H41" s="46"/>
      <c r="I41" s="46"/>
      <c r="J41" s="46"/>
      <c r="K41" s="46"/>
      <c r="L41" s="46"/>
      <c r="M41" s="46"/>
      <c r="N41" s="46"/>
      <c r="O41" s="46"/>
      <c r="P41" s="46"/>
      <c r="Q41" s="46"/>
      <c r="R41" s="47"/>
    </row>
    <row r="42" spans="1:18" ht="14.4" customHeight="1" x14ac:dyDescent="0.55000000000000004">
      <c r="B42" s="44"/>
      <c r="C42" s="46"/>
      <c r="D42" s="46"/>
      <c r="E42" s="46"/>
      <c r="F42" s="46"/>
      <c r="G42" s="46"/>
      <c r="H42" s="46"/>
      <c r="I42" s="46"/>
      <c r="J42" s="46"/>
      <c r="K42" s="46"/>
      <c r="L42" s="46"/>
      <c r="M42" s="46"/>
      <c r="N42" s="46"/>
      <c r="O42" s="64"/>
      <c r="P42" s="64"/>
      <c r="Q42" s="64"/>
      <c r="R42" s="65"/>
    </row>
    <row r="43" spans="1:18" ht="12.75" customHeight="1" x14ac:dyDescent="0.55000000000000004">
      <c r="B43" s="44"/>
      <c r="C43" s="46"/>
      <c r="D43" s="46"/>
      <c r="E43" s="46"/>
      <c r="F43" s="46"/>
      <c r="G43" s="46"/>
      <c r="H43" s="46"/>
      <c r="I43" s="46"/>
      <c r="J43" s="46"/>
      <c r="K43" s="46"/>
      <c r="L43" s="46"/>
      <c r="M43" s="46"/>
      <c r="N43" s="46"/>
      <c r="O43" s="64"/>
      <c r="P43" s="64"/>
      <c r="Q43" s="64"/>
      <c r="R43" s="65"/>
    </row>
    <row r="44" spans="1:18" ht="12.75" customHeight="1" x14ac:dyDescent="0.55000000000000004">
      <c r="B44" s="44"/>
      <c r="C44" s="46"/>
      <c r="D44" s="46"/>
      <c r="E44" s="46"/>
      <c r="F44" s="46"/>
      <c r="G44" s="46"/>
      <c r="H44" s="46"/>
      <c r="I44" s="46"/>
      <c r="J44" s="46"/>
      <c r="K44" s="104" t="s">
        <v>132</v>
      </c>
      <c r="L44" s="105"/>
      <c r="M44" s="106"/>
      <c r="N44" s="46"/>
      <c r="O44" s="64"/>
      <c r="P44" s="64"/>
      <c r="Q44" s="64"/>
      <c r="R44" s="65"/>
    </row>
    <row r="45" spans="1:18" ht="12.75" customHeight="1" x14ac:dyDescent="0.55000000000000004">
      <c r="B45" s="44"/>
      <c r="C45" s="46"/>
      <c r="D45" s="46"/>
      <c r="E45" s="46"/>
      <c r="F45" s="46"/>
      <c r="G45" s="46"/>
      <c r="H45" s="46"/>
      <c r="I45" s="46"/>
      <c r="J45" s="46"/>
      <c r="K45" s="107"/>
      <c r="L45" s="108"/>
      <c r="M45" s="109"/>
      <c r="N45" s="46"/>
      <c r="O45" s="64"/>
      <c r="P45" s="64"/>
      <c r="Q45" s="64"/>
      <c r="R45" s="65"/>
    </row>
    <row r="46" spans="1:18" ht="12.75" customHeight="1" x14ac:dyDescent="0.55000000000000004">
      <c r="B46" s="44"/>
      <c r="C46" s="46"/>
      <c r="D46" s="46"/>
      <c r="E46" s="46"/>
      <c r="F46" s="46"/>
      <c r="G46" s="46"/>
      <c r="H46" s="46"/>
      <c r="I46" s="46"/>
      <c r="J46" s="46"/>
      <c r="K46" s="110"/>
      <c r="L46" s="111"/>
      <c r="M46" s="112"/>
      <c r="N46" s="46"/>
      <c r="O46" s="64"/>
      <c r="P46" s="64"/>
      <c r="Q46" s="64"/>
      <c r="R46" s="65"/>
    </row>
    <row r="47" spans="1:18" ht="12.75" customHeight="1" thickBot="1" x14ac:dyDescent="0.45">
      <c r="B47" s="45"/>
      <c r="C47" s="48"/>
      <c r="D47" s="48"/>
      <c r="E47" s="48"/>
      <c r="F47" s="48"/>
      <c r="G47" s="48"/>
      <c r="H47" s="48"/>
      <c r="I47" s="53"/>
      <c r="J47" s="48"/>
      <c r="K47" s="48"/>
      <c r="L47" s="48"/>
      <c r="M47" s="54"/>
      <c r="N47" s="48"/>
      <c r="O47" s="48"/>
      <c r="P47" s="48"/>
      <c r="Q47" s="48"/>
      <c r="R47" s="49"/>
    </row>
  </sheetData>
  <sheetProtection algorithmName="SHA-512" hashValue="xh25ELF+SVm8ZoZWuJO0Ei1wEherfSHReaBo8x/7uPtb0UxTzYJJT+2IrgRh6reHy4pViPo46Q/uCFL1NOnN6A==" saltValue="5vIYM+iG33YHjZ3Im0v65w==" spinCount="100000" sheet="1" objects="1" scenarios="1"/>
  <mergeCells count="7">
    <mergeCell ref="F30:H32"/>
    <mergeCell ref="K44:M46"/>
    <mergeCell ref="C4:R5"/>
    <mergeCell ref="D13:I13"/>
    <mergeCell ref="D14:I14"/>
    <mergeCell ref="D20:Q20"/>
    <mergeCell ref="D24:E28"/>
  </mergeCells>
  <hyperlinks>
    <hyperlink ref="D13" location="Subdivision_consent" display="Subdivision consent (both residential and non-residential)" xr:uid="{00000000-0004-0000-0000-000000000000}"/>
    <hyperlink ref="D14" location="'Flow chart'!B20" display="Residential building consent" xr:uid="{00000000-0004-0000-0000-000001000000}"/>
    <hyperlink ref="D24" location="Sec_2.4" display="Section 2.4" xr:uid="{00000000-0004-0000-0000-000003000000}"/>
    <hyperlink ref="F30" location="Sec_2.4" display="Section 2.4" xr:uid="{00000000-0004-0000-0000-000004000000}"/>
    <hyperlink ref="F30:H32" location="'Res Sub'!A1" display="Click here to assess a residential development under the 2018 Policy on DCs." xr:uid="{00000000-0004-0000-0000-000005000000}"/>
    <hyperlink ref="D14:I14" location="Res_BC" display="Residential building consent" xr:uid="{00000000-0004-0000-0000-000007000000}"/>
    <hyperlink ref="K44:M46" location="'Res BC'!A1" display="Click here to assess a residential development under the provisions of the 2018 Policy on DCs." xr:uid="{00000000-0004-0000-0000-000010000000}"/>
  </hyperlinks>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1:N40"/>
  <sheetViews>
    <sheetView zoomScale="90" zoomScaleNormal="90" workbookViewId="0">
      <selection activeCell="B46" sqref="B46"/>
    </sheetView>
  </sheetViews>
  <sheetFormatPr defaultColWidth="9.15625" defaultRowHeight="14.4" outlineLevelRow="2" outlineLevelCol="1" x14ac:dyDescent="0.55000000000000004"/>
  <cols>
    <col min="1" max="1" width="5.578125" style="29" customWidth="1"/>
    <col min="2" max="2" width="98.83984375" style="29" customWidth="1"/>
    <col min="3" max="3" width="18.41796875" style="29" customWidth="1"/>
    <col min="4" max="4" width="18.41796875" style="29" hidden="1" customWidth="1" outlineLevel="1"/>
    <col min="5" max="5" width="20.15625" style="29" customWidth="1" collapsed="1"/>
    <col min="6" max="8" width="18.41796875" style="29" customWidth="1"/>
    <col min="9" max="9" width="14.7890625" style="29" customWidth="1"/>
    <col min="10" max="11" width="9.15625" style="29" hidden="1" customWidth="1" outlineLevel="1"/>
    <col min="12" max="12" width="9.15625" style="29" collapsed="1"/>
    <col min="13" max="13" width="9.15625" style="29"/>
    <col min="14" max="14" width="9.62890625" style="29" bestFit="1" customWidth="1"/>
    <col min="15" max="16384" width="9.15625" style="29"/>
  </cols>
  <sheetData>
    <row r="1" spans="1:11" ht="26.5" customHeight="1" x14ac:dyDescent="0.55000000000000004">
      <c r="A1" s="120" t="s">
        <v>112</v>
      </c>
      <c r="B1" s="120"/>
      <c r="C1" s="120"/>
      <c r="D1" s="120"/>
      <c r="E1" s="120"/>
      <c r="F1" s="120"/>
      <c r="G1" s="120"/>
      <c r="H1" s="120"/>
    </row>
    <row r="2" spans="1:11" x14ac:dyDescent="0.55000000000000004">
      <c r="A2" s="30" t="s">
        <v>5</v>
      </c>
      <c r="B2" s="31"/>
      <c r="C2" s="31"/>
      <c r="D2" s="31"/>
      <c r="E2" s="31"/>
      <c r="F2" s="31"/>
      <c r="G2" s="31"/>
      <c r="H2" s="31"/>
    </row>
    <row r="3" spans="1:11" x14ac:dyDescent="0.55000000000000004">
      <c r="B3" s="4" t="s">
        <v>21</v>
      </c>
    </row>
    <row r="4" spans="1:11" s="2" customFormat="1" ht="11.1" customHeight="1" x14ac:dyDescent="0.4">
      <c r="A4" s="121"/>
      <c r="B4" s="121"/>
      <c r="C4" s="121"/>
      <c r="D4" s="121"/>
      <c r="E4" s="121"/>
      <c r="F4" s="121"/>
      <c r="G4" s="121"/>
      <c r="H4" s="121"/>
      <c r="I4" s="5"/>
    </row>
    <row r="5" spans="1:11" hidden="1" outlineLevel="1" x14ac:dyDescent="0.55000000000000004">
      <c r="B5" s="2" t="s">
        <v>7</v>
      </c>
      <c r="C5" s="82" t="s">
        <v>1</v>
      </c>
      <c r="D5" s="55" t="str">
        <f>IF(C5="","please enter Yes or No - see Section 9.1, Map 2 in Policy on DCs","")</f>
        <v/>
      </c>
      <c r="E5" s="29" t="s">
        <v>117</v>
      </c>
      <c r="F5" s="83">
        <v>0</v>
      </c>
      <c r="G5" s="32" t="str">
        <f>IF(C5="yes","please enter number of HUDs that receive central city exemption","")</f>
        <v/>
      </c>
      <c r="J5" s="29" t="s">
        <v>0</v>
      </c>
      <c r="K5" s="29" t="s">
        <v>1</v>
      </c>
    </row>
    <row r="6" spans="1:11" ht="6.75" hidden="1" customHeight="1" outlineLevel="1" x14ac:dyDescent="0.55000000000000004">
      <c r="B6" s="2"/>
      <c r="D6" s="33"/>
    </row>
    <row r="7" spans="1:11" hidden="1" outlineLevel="1" collapsed="1" x14ac:dyDescent="0.55000000000000004">
      <c r="B7" s="2" t="s">
        <v>4</v>
      </c>
      <c r="C7" s="82" t="s">
        <v>0</v>
      </c>
      <c r="D7" s="32" t="str">
        <f>IF(C7="","please enter Yes or No","")</f>
        <v/>
      </c>
      <c r="H7" s="29" t="s">
        <v>17</v>
      </c>
    </row>
    <row r="8" spans="1:11" ht="14.4" hidden="1" customHeight="1" outlineLevel="2" x14ac:dyDescent="0.55000000000000004">
      <c r="B8" s="71" t="s">
        <v>103</v>
      </c>
      <c r="C8" s="127" t="s">
        <v>122</v>
      </c>
      <c r="D8" s="128"/>
      <c r="E8" s="128"/>
      <c r="F8" s="128"/>
      <c r="G8" s="128"/>
      <c r="H8" s="128"/>
      <c r="I8" s="70" t="str">
        <f>IF(C8="","please if SW LID applies","")</f>
        <v/>
      </c>
    </row>
    <row r="9" spans="1:11" hidden="1" outlineLevel="1" x14ac:dyDescent="0.55000000000000004">
      <c r="B9" s="2" t="s">
        <v>3</v>
      </c>
      <c r="C9" s="82" t="s">
        <v>0</v>
      </c>
      <c r="D9" s="32" t="str">
        <f t="shared" ref="D9:D11" si="0">IF(C9="","please enter Yes or No","")</f>
        <v/>
      </c>
    </row>
    <row r="10" spans="1:11" hidden="1" outlineLevel="1" x14ac:dyDescent="0.55000000000000004">
      <c r="B10" s="2" t="s">
        <v>2</v>
      </c>
      <c r="C10" s="82" t="s">
        <v>0</v>
      </c>
      <c r="D10" s="32" t="str">
        <f t="shared" si="0"/>
        <v/>
      </c>
    </row>
    <row r="11" spans="1:11" hidden="1" outlineLevel="1" x14ac:dyDescent="0.55000000000000004">
      <c r="B11" s="2" t="s">
        <v>113</v>
      </c>
      <c r="C11" s="82" t="s">
        <v>1</v>
      </c>
      <c r="D11" s="32" t="str">
        <f t="shared" si="0"/>
        <v/>
      </c>
      <c r="E11" s="29" t="s">
        <v>108</v>
      </c>
      <c r="F11" s="83">
        <v>0</v>
      </c>
      <c r="G11" s="32" t="str">
        <f>IF(C11="yes","please enter number of lots that receive Brownfield exemption","")</f>
        <v/>
      </c>
    </row>
    <row r="12" spans="1:11" ht="16.899999999999999" hidden="1" customHeight="1" outlineLevel="1" x14ac:dyDescent="0.55000000000000004">
      <c r="D12" s="33"/>
      <c r="G12" s="59"/>
    </row>
    <row r="13" spans="1:11" ht="14.4" customHeight="1" collapsed="1" x14ac:dyDescent="0.55000000000000004">
      <c r="B13" s="2" t="s">
        <v>141</v>
      </c>
      <c r="C13" s="39"/>
      <c r="E13" s="32" t="str">
        <f>IF(C13="","please enter the number of lots pre-development","")</f>
        <v>please enter the number of lots pre-development</v>
      </c>
      <c r="G13" s="59"/>
    </row>
    <row r="14" spans="1:11" x14ac:dyDescent="0.55000000000000004">
      <c r="B14" s="2" t="s">
        <v>142</v>
      </c>
      <c r="C14" s="39"/>
      <c r="E14" s="32" t="str">
        <f>IF(C14="","please enter the number of lots post-development","")</f>
        <v>please enter the number of lots post-development</v>
      </c>
    </row>
    <row r="15" spans="1:11" x14ac:dyDescent="0.55000000000000004">
      <c r="B15" s="2" t="s">
        <v>146</v>
      </c>
      <c r="C15" s="61"/>
      <c r="E15" s="32" t="str">
        <f>IF(C15="","please enter the total land valuation of the new lots created","")</f>
        <v>please enter the total land valuation of the new lots created</v>
      </c>
      <c r="F15" s="66"/>
    </row>
    <row r="16" spans="1:11" ht="14.7" x14ac:dyDescent="0.55000000000000004">
      <c r="B16" s="2" t="s">
        <v>140</v>
      </c>
      <c r="C16" s="62"/>
      <c r="E16" s="32" t="str">
        <f>IF(C16="","please enter the total land area (m2) of the new lots created","")</f>
        <v>please enter the total land area (m2) of the new lots created</v>
      </c>
      <c r="F16" s="73"/>
    </row>
    <row r="17" spans="1:14" x14ac:dyDescent="0.55000000000000004">
      <c r="B17" s="2" t="s">
        <v>86</v>
      </c>
      <c r="C17" s="58"/>
      <c r="E17" s="32" t="str">
        <f>IF(C17="","select land or cash","")</f>
        <v>select land or cash</v>
      </c>
      <c r="F17" s="66"/>
    </row>
    <row r="18" spans="1:14" customFormat="1" x14ac:dyDescent="0.55000000000000004">
      <c r="A18" s="29"/>
      <c r="B18" s="29"/>
      <c r="C18" s="29"/>
      <c r="D18" s="29"/>
      <c r="E18" s="29"/>
      <c r="F18" s="74"/>
      <c r="G18" s="29"/>
      <c r="H18" s="29"/>
      <c r="I18" s="29"/>
      <c r="J18" s="29"/>
      <c r="K18" s="29"/>
      <c r="L18" s="29"/>
      <c r="M18" s="29"/>
      <c r="N18" s="29"/>
    </row>
    <row r="19" spans="1:14" ht="14.7" hidden="1" outlineLevel="1" x14ac:dyDescent="0.55000000000000004">
      <c r="B19" s="2" t="s">
        <v>75</v>
      </c>
      <c r="C19" s="85" t="e">
        <f>+C15/C16</f>
        <v>#DIV/0!</v>
      </c>
      <c r="D19" s="32" t="s">
        <v>79</v>
      </c>
      <c r="E19" s="29" t="s">
        <v>123</v>
      </c>
      <c r="F19" s="86">
        <f>IF(AND(C$5="yes",F5&gt;0)=TRUE,$F$5,0)</f>
        <v>0</v>
      </c>
      <c r="G19" s="80" t="s">
        <v>36</v>
      </c>
    </row>
    <row r="20" spans="1:14" ht="14.7" hidden="1" outlineLevel="1" x14ac:dyDescent="0.55000000000000004">
      <c r="B20" s="2" t="s">
        <v>80</v>
      </c>
      <c r="C20" s="86">
        <v>40</v>
      </c>
      <c r="D20" s="32" t="s">
        <v>82</v>
      </c>
      <c r="E20" s="29" t="s">
        <v>124</v>
      </c>
      <c r="F20" s="86">
        <f>+IF(C11="yes",0.25*(MIN((C14-C13),F11)-F19),0)</f>
        <v>0</v>
      </c>
      <c r="G20" s="80" t="s">
        <v>36</v>
      </c>
    </row>
    <row r="21" spans="1:14" hidden="1" outlineLevel="1" x14ac:dyDescent="0.55000000000000004">
      <c r="B21" s="2" t="s">
        <v>83</v>
      </c>
      <c r="C21" s="85" t="e">
        <f>(C14-C13)*C20*C19</f>
        <v>#DIV/0!</v>
      </c>
      <c r="D21" s="32"/>
    </row>
    <row r="22" spans="1:14" hidden="1" outlineLevel="1" x14ac:dyDescent="0.55000000000000004">
      <c r="B22" s="38" t="s">
        <v>76</v>
      </c>
      <c r="C22" s="85">
        <f>+C15*7.5%</f>
        <v>0</v>
      </c>
      <c r="D22" s="32"/>
    </row>
    <row r="23" spans="1:14" ht="14.7" hidden="1" outlineLevel="1" x14ac:dyDescent="0.55000000000000004">
      <c r="B23" s="38" t="s">
        <v>78</v>
      </c>
      <c r="C23" s="98" t="e">
        <f>(C14-C13)*20*C19</f>
        <v>#DIV/0!</v>
      </c>
      <c r="D23" s="32"/>
    </row>
    <row r="24" spans="1:14" hidden="1" outlineLevel="1" x14ac:dyDescent="0.55000000000000004">
      <c r="B24" s="2" t="s">
        <v>77</v>
      </c>
      <c r="C24" s="85" t="e">
        <f>MAX(C22:C23)</f>
        <v>#DIV/0!</v>
      </c>
      <c r="D24" s="32"/>
    </row>
    <row r="25" spans="1:14" hidden="1" outlineLevel="1" x14ac:dyDescent="0.55000000000000004">
      <c r="B25" s="2" t="s">
        <v>84</v>
      </c>
      <c r="C25" s="98" t="e">
        <f>C24-E34*(C14-C13)</f>
        <v>#DIV/0!</v>
      </c>
      <c r="D25" s="32"/>
    </row>
    <row r="26" spans="1:14" ht="14.7" hidden="1" outlineLevel="1" x14ac:dyDescent="0.55000000000000004">
      <c r="B26" s="2" t="s">
        <v>85</v>
      </c>
      <c r="C26" s="99" t="e">
        <f>IF(C35&lt;D35,0,IFERROR((C35-D35)*IF(C21&gt;C25,C25,C21)/(C14-C13),0))/C19</f>
        <v>#DIV/0!</v>
      </c>
      <c r="D26" s="32" t="s">
        <v>81</v>
      </c>
    </row>
    <row r="27" spans="1:14" ht="14.7" collapsed="1" thickBot="1" x14ac:dyDescent="0.6">
      <c r="B27" s="2"/>
    </row>
    <row r="28" spans="1:14" ht="37.200000000000003" thickBot="1" x14ac:dyDescent="0.6">
      <c r="B28" s="56" t="s">
        <v>8</v>
      </c>
      <c r="C28" s="57" t="s">
        <v>16</v>
      </c>
      <c r="D28" s="57" t="s">
        <v>107</v>
      </c>
      <c r="E28" s="57" t="s">
        <v>15</v>
      </c>
      <c r="F28" s="57" t="s">
        <v>24</v>
      </c>
      <c r="G28" s="57" t="s">
        <v>9</v>
      </c>
      <c r="H28" s="57" t="s">
        <v>25</v>
      </c>
    </row>
    <row r="29" spans="1:14" ht="15" x14ac:dyDescent="0.55000000000000004">
      <c r="B29" s="6" t="s">
        <v>12</v>
      </c>
      <c r="C29" s="12">
        <f>IF(C7="yes",C14-C13,0)</f>
        <v>0</v>
      </c>
      <c r="D29" s="7"/>
      <c r="E29" s="8">
        <f>SW_DC</f>
        <v>3230</v>
      </c>
      <c r="F29" s="8">
        <f t="shared" ref="F29:F34" si="1">IF(C29&lt;D29,0,(C29-D29)*E29)</f>
        <v>0</v>
      </c>
      <c r="G29" s="9">
        <f>F29*GST</f>
        <v>0</v>
      </c>
      <c r="H29" s="10">
        <f>F29+G29</f>
        <v>0</v>
      </c>
    </row>
    <row r="30" spans="1:14" ht="15" x14ac:dyDescent="0.55000000000000004">
      <c r="B30" s="11" t="s">
        <v>11</v>
      </c>
      <c r="C30" s="12">
        <f>IF(C9="yes",C14-C13,0)</f>
        <v>0</v>
      </c>
      <c r="D30" s="12"/>
      <c r="E30" s="13">
        <f>WW_DC</f>
        <v>5000</v>
      </c>
      <c r="F30" s="13">
        <f t="shared" si="1"/>
        <v>0</v>
      </c>
      <c r="G30" s="14">
        <f>F30*GST</f>
        <v>0</v>
      </c>
      <c r="H30" s="15">
        <f>F30+G30</f>
        <v>0</v>
      </c>
      <c r="J30" s="29" t="s">
        <v>68</v>
      </c>
    </row>
    <row r="31" spans="1:14" ht="15" x14ac:dyDescent="0.55000000000000004">
      <c r="B31" s="11" t="s">
        <v>10</v>
      </c>
      <c r="C31" s="12">
        <f>IF(C10="yes",C14-C13,0)</f>
        <v>0</v>
      </c>
      <c r="D31" s="12"/>
      <c r="E31" s="13">
        <f>WS_DC</f>
        <v>2050</v>
      </c>
      <c r="F31" s="13">
        <f t="shared" si="1"/>
        <v>0</v>
      </c>
      <c r="G31" s="14">
        <f t="shared" ref="G31:G32" si="2">F31*GST</f>
        <v>0</v>
      </c>
      <c r="H31" s="15">
        <f t="shared" ref="H31:H32" si="3">F31+G31</f>
        <v>0</v>
      </c>
    </row>
    <row r="32" spans="1:14" ht="15" x14ac:dyDescent="0.55000000000000004">
      <c r="B32" s="11" t="s">
        <v>14</v>
      </c>
      <c r="C32" s="12">
        <f>+$C$14-C13</f>
        <v>0</v>
      </c>
      <c r="D32" s="12"/>
      <c r="E32" s="13">
        <f>Trans_DC</f>
        <v>1370</v>
      </c>
      <c r="F32" s="13">
        <f t="shared" si="1"/>
        <v>0</v>
      </c>
      <c r="G32" s="14">
        <f t="shared" si="2"/>
        <v>0</v>
      </c>
      <c r="H32" s="15">
        <f t="shared" si="3"/>
        <v>0</v>
      </c>
    </row>
    <row r="33" spans="2:14" ht="15" x14ac:dyDescent="0.55000000000000004">
      <c r="B33" s="11" t="s">
        <v>70</v>
      </c>
      <c r="C33" s="12">
        <f>+$C$14-C13</f>
        <v>0</v>
      </c>
      <c r="D33" s="12"/>
      <c r="E33" s="13">
        <f>CI_DC</f>
        <v>280</v>
      </c>
      <c r="F33" s="13">
        <f t="shared" si="1"/>
        <v>0</v>
      </c>
      <c r="G33" s="14">
        <f t="shared" ref="G33:G34" si="4">F33*GST</f>
        <v>0</v>
      </c>
      <c r="H33" s="15">
        <f t="shared" ref="H33:H34" si="5">F33+G33</f>
        <v>0</v>
      </c>
    </row>
    <row r="34" spans="2:14" ht="15" x14ac:dyDescent="0.55000000000000004">
      <c r="B34" s="11" t="s">
        <v>71</v>
      </c>
      <c r="C34" s="12">
        <f>+$C$14-C13</f>
        <v>0</v>
      </c>
      <c r="D34" s="12"/>
      <c r="E34" s="13">
        <f>GR_DC</f>
        <v>1160</v>
      </c>
      <c r="F34" s="13">
        <f t="shared" si="1"/>
        <v>0</v>
      </c>
      <c r="G34" s="14">
        <f t="shared" si="4"/>
        <v>0</v>
      </c>
      <c r="H34" s="15">
        <f t="shared" si="5"/>
        <v>0</v>
      </c>
      <c r="L34" s="66"/>
    </row>
    <row r="35" spans="2:14" ht="15" x14ac:dyDescent="0.55000000000000004">
      <c r="B35" s="122" t="s">
        <v>72</v>
      </c>
      <c r="C35" s="12">
        <f>+$C$14-C13</f>
        <v>0</v>
      </c>
      <c r="D35" s="12"/>
      <c r="E35" s="13" t="str">
        <f>IF(C35-D35&lt;=0,"",IF(C17="cash",IF(C21&gt;C25,C25,C21)/(C14-C13),"n/a - provided as land"))</f>
        <v/>
      </c>
      <c r="F35" s="13">
        <f>IF(C35&lt;D35,0,IFERROR((C35-D35)*E35,0))</f>
        <v>0</v>
      </c>
      <c r="G35" s="14">
        <f t="shared" ref="G35" si="6">F35*GST</f>
        <v>0</v>
      </c>
      <c r="H35" s="15">
        <f t="shared" ref="H35" si="7">F35+G35</f>
        <v>0</v>
      </c>
      <c r="I35" s="29" t="s">
        <v>88</v>
      </c>
      <c r="N35" s="66"/>
    </row>
    <row r="36" spans="2:14" ht="14.7" thickBot="1" x14ac:dyDescent="0.6">
      <c r="B36" s="123"/>
      <c r="C36" s="12"/>
      <c r="D36" s="12"/>
      <c r="E36" s="13"/>
      <c r="F36" s="124" t="str">
        <f>IF(C35-D35&lt;=0,"",IF(C17="Land",ROUND(C26,0)&amp;" m2 of suitable neighbourhood reserve land","n/a - paid in cash"))</f>
        <v/>
      </c>
      <c r="G36" s="125"/>
      <c r="H36" s="126"/>
      <c r="I36" s="29" t="s">
        <v>87</v>
      </c>
    </row>
    <row r="37" spans="2:14" ht="15.3" thickBot="1" x14ac:dyDescent="0.6">
      <c r="B37" s="16" t="s">
        <v>13</v>
      </c>
      <c r="C37" s="17"/>
      <c r="D37" s="17"/>
      <c r="E37" s="18">
        <f>SUM(E29:E36)</f>
        <v>13090</v>
      </c>
      <c r="F37" s="18">
        <f>SUM(F29:F36)</f>
        <v>0</v>
      </c>
      <c r="G37" s="19">
        <f>SUM(G29:G36)</f>
        <v>0</v>
      </c>
      <c r="H37" s="20">
        <f>SUM(H29:H36)</f>
        <v>0</v>
      </c>
    </row>
    <row r="38" spans="2:14" x14ac:dyDescent="0.55000000000000004">
      <c r="B38" s="2" t="str">
        <f>IFERROR(IF(F35+F34=C22,"Note : 7.5% cap applies",IF(F35+F34=C23,"Note : 20m2 cap applies","")),"")</f>
        <v>Note : 7.5% cap applies</v>
      </c>
    </row>
    <row r="39" spans="2:14" x14ac:dyDescent="0.55000000000000004">
      <c r="B39" s="29" t="s">
        <v>136</v>
      </c>
      <c r="F39" s="88" t="s">
        <v>129</v>
      </c>
      <c r="G39" s="81"/>
      <c r="H39" s="81"/>
      <c r="I39" s="81"/>
      <c r="J39" s="81"/>
    </row>
    <row r="40" spans="2:14" x14ac:dyDescent="0.55000000000000004">
      <c r="F40" s="74"/>
    </row>
  </sheetData>
  <sheetProtection algorithmName="SHA-512" hashValue="c4xsHIXU9a3qPQpz7LBVNLBGfOdXJ7+3rYRxycBVv+Fmiu7CQX216+RIqS79fV2i/i1ouLedHI+Kpg0vZPzkxA==" saltValue="IQ+yBhwsCGCD37uSFRAmow==" spinCount="100000" sheet="1" objects="1" scenarios="1"/>
  <dataConsolidate/>
  <mergeCells count="5">
    <mergeCell ref="A1:H1"/>
    <mergeCell ref="A4:H4"/>
    <mergeCell ref="B35:B36"/>
    <mergeCell ref="F36:H36"/>
    <mergeCell ref="C8:H8"/>
  </mergeCells>
  <dataValidations count="7">
    <dataValidation type="list" allowBlank="1" showInputMessage="1" showErrorMessage="1" sqref="C5 C7 C9:C11" xr:uid="{00000000-0002-0000-0100-000000000000}">
      <formula1>$J$5:$K$5</formula1>
    </dataValidation>
    <dataValidation type="whole" operator="greaterThanOrEqual" allowBlank="1" showInputMessage="1" showErrorMessage="1" promptTitle="Must be a whole number" prompt="Exclude decimal points" sqref="C13:C16" xr:uid="{00000000-0002-0000-0100-000002000000}">
      <formula1>0</formula1>
    </dataValidation>
    <dataValidation operator="greaterThanOrEqual" allowBlank="1" showInputMessage="1" showErrorMessage="1" sqref="C19:C26" xr:uid="{F748F6A2-EBCB-445A-946B-68E34D44F8A9}"/>
    <dataValidation type="list" operator="greaterThanOrEqual" allowBlank="1" showInputMessage="1" showErrorMessage="1" promptTitle="Neighbourhood reserves" prompt="Provide as land or cash" sqref="C17" xr:uid="{8256A13C-8071-4C3E-9FBE-6FA8CE4F3C83}">
      <formula1>"Land, Cash"</formula1>
    </dataValidation>
    <dataValidation type="whole" operator="lessThanOrEqual" allowBlank="1" showInputMessage="1" showErrorMessage="1" promptTitle="Must be a whole number" prompt="Must be equal or less than Proposed No. of Residential titles" sqref="F11" xr:uid="{A25E9256-F43E-43A3-94D4-FC3DE85480AB}">
      <formula1>C14</formula1>
    </dataValidation>
    <dataValidation type="whole" allowBlank="1" showInputMessage="1" showErrorMessage="1" promptTitle="Must be a whole number" prompt="Must be no greater than 30 HUDs" sqref="F5" xr:uid="{6F0ADF04-797A-49E8-B355-5A2EC153E2D7}">
      <formula1>0</formula1>
      <formula2>30</formula2>
    </dataValidation>
    <dataValidation type="list" allowBlank="1" showInputMessage="1" showErrorMessage="1" sqref="C8:H8" xr:uid="{AD698153-5EAD-4061-915B-765FD50DD267}">
      <formula1>SW_LID_Names</formula1>
    </dataValidation>
  </dataValidations>
  <hyperlinks>
    <hyperlink ref="F39" location="'Res Sub-exemptions'!A1" display="Exemption" xr:uid="{89F329D6-FBAE-41D9-8629-AB1960DFE9C4}"/>
  </hyperlinks>
  <pageMargins left="0.7" right="0.7" top="0.75" bottom="0.75" header="0.3" footer="0.3"/>
  <pageSetup paperSize="9"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pageSetUpPr fitToPage="1"/>
  </sheetPr>
  <dimension ref="A1:M24"/>
  <sheetViews>
    <sheetView zoomScale="75" zoomScaleNormal="75" workbookViewId="0">
      <selection activeCell="E15" sqref="E15:E20"/>
    </sheetView>
  </sheetViews>
  <sheetFormatPr defaultColWidth="9.15625" defaultRowHeight="14.4" outlineLevelCol="1" x14ac:dyDescent="0.55000000000000004"/>
  <cols>
    <col min="1" max="1" width="5.578125" style="29" customWidth="1"/>
    <col min="2" max="2" width="87.41796875" style="29" customWidth="1"/>
    <col min="3" max="8" width="18.41796875" style="29" customWidth="1"/>
    <col min="9" max="9" width="16.734375" style="29" customWidth="1"/>
    <col min="10" max="11" width="9.15625" style="29" hidden="1" customWidth="1" outlineLevel="1"/>
    <col min="12" max="12" width="9.15625" style="29" collapsed="1"/>
    <col min="13" max="16384" width="9.15625" style="29"/>
  </cols>
  <sheetData>
    <row r="1" spans="1:13" ht="31.9" customHeight="1" x14ac:dyDescent="0.55000000000000004">
      <c r="A1" s="120" t="s">
        <v>112</v>
      </c>
      <c r="B1" s="120"/>
      <c r="C1" s="120"/>
      <c r="D1" s="120"/>
      <c r="E1" s="120"/>
      <c r="F1" s="120"/>
      <c r="G1" s="120"/>
      <c r="H1" s="120"/>
    </row>
    <row r="2" spans="1:13" x14ac:dyDescent="0.55000000000000004">
      <c r="A2" s="30" t="s">
        <v>6</v>
      </c>
      <c r="B2" s="31"/>
      <c r="C2" s="31"/>
      <c r="D2" s="31"/>
      <c r="E2" s="31"/>
      <c r="F2" s="31"/>
      <c r="G2" s="31"/>
      <c r="H2" s="31"/>
    </row>
    <row r="3" spans="1:13" x14ac:dyDescent="0.55000000000000004">
      <c r="B3" s="4" t="s">
        <v>22</v>
      </c>
    </row>
    <row r="4" spans="1:13" s="2" customFormat="1" ht="30.75" customHeight="1" x14ac:dyDescent="0.4">
      <c r="A4" s="121" t="s">
        <v>37</v>
      </c>
      <c r="B4" s="121"/>
      <c r="C4" s="121"/>
      <c r="D4" s="121"/>
      <c r="E4" s="121"/>
      <c r="F4" s="121"/>
      <c r="G4" s="121"/>
      <c r="H4" s="121"/>
      <c r="I4" s="5"/>
    </row>
    <row r="5" spans="1:13" ht="14.4" customHeight="1" x14ac:dyDescent="0.55000000000000004">
      <c r="B5" s="2" t="s">
        <v>4</v>
      </c>
      <c r="C5" s="3" t="s">
        <v>69</v>
      </c>
      <c r="D5" s="32" t="str">
        <f>IF(C5="","please enter Yes or No","")</f>
        <v/>
      </c>
      <c r="H5" s="29" t="s">
        <v>17</v>
      </c>
      <c r="J5" s="29" t="s">
        <v>0</v>
      </c>
      <c r="K5" s="29" t="s">
        <v>1</v>
      </c>
    </row>
    <row r="6" spans="1:13" ht="14.4" customHeight="1" x14ac:dyDescent="0.55000000000000004">
      <c r="B6" s="71" t="s">
        <v>103</v>
      </c>
      <c r="C6" s="135" t="s">
        <v>122</v>
      </c>
      <c r="D6" s="136"/>
      <c r="E6" s="136"/>
      <c r="F6" s="136"/>
      <c r="G6" s="136"/>
      <c r="H6" s="136"/>
      <c r="I6" s="70" t="str">
        <f>IF(C6="","please if SW LID applies","")</f>
        <v/>
      </c>
    </row>
    <row r="7" spans="1:13" x14ac:dyDescent="0.55000000000000004">
      <c r="B7" s="2" t="s">
        <v>3</v>
      </c>
      <c r="C7" s="3" t="s">
        <v>69</v>
      </c>
      <c r="D7" s="32" t="str">
        <f t="shared" ref="D7:D8" si="0">IF(C7="","please enter Yes or No","")</f>
        <v/>
      </c>
    </row>
    <row r="8" spans="1:13" x14ac:dyDescent="0.55000000000000004">
      <c r="B8" s="2" t="s">
        <v>2</v>
      </c>
      <c r="C8" s="3" t="s">
        <v>69</v>
      </c>
      <c r="D8" s="32" t="str">
        <f t="shared" si="0"/>
        <v/>
      </c>
    </row>
    <row r="9" spans="1:13" ht="8.25" customHeight="1" x14ac:dyDescent="0.55000000000000004">
      <c r="D9" s="33"/>
    </row>
    <row r="10" spans="1:13" x14ac:dyDescent="0.55000000000000004">
      <c r="B10" s="2" t="s">
        <v>109</v>
      </c>
      <c r="C10" s="39">
        <v>3</v>
      </c>
      <c r="D10" s="32" t="str">
        <f>IF(C10="","please enter the number of new titles created","")</f>
        <v/>
      </c>
    </row>
    <row r="11" spans="1:13" x14ac:dyDescent="0.55000000000000004">
      <c r="B11" s="2" t="s">
        <v>34</v>
      </c>
      <c r="C11" s="1"/>
      <c r="D11" s="32" t="str">
        <f>IF(C8="NO","",IF(C11="","please enter the water supply connection pipe size if greater than 20mm",""))</f>
        <v>please enter the water supply connection pipe size if greater than 20mm</v>
      </c>
    </row>
    <row r="12" spans="1:13" x14ac:dyDescent="0.55000000000000004">
      <c r="B12" s="63" t="s">
        <v>93</v>
      </c>
      <c r="C12" s="3" t="s">
        <v>69</v>
      </c>
      <c r="D12" s="32" t="str">
        <f>IF(C12="","please enter yes or no","")</f>
        <v/>
      </c>
    </row>
    <row r="13" spans="1:13" ht="14.7" thickBot="1" x14ac:dyDescent="0.6">
      <c r="B13" s="2"/>
    </row>
    <row r="14" spans="1:13" ht="37.200000000000003" thickBot="1" x14ac:dyDescent="0.6">
      <c r="B14" s="56" t="s">
        <v>8</v>
      </c>
      <c r="C14" s="57" t="s">
        <v>16</v>
      </c>
      <c r="D14" s="57" t="s">
        <v>107</v>
      </c>
      <c r="E14" s="57" t="s">
        <v>15</v>
      </c>
      <c r="F14" s="57" t="s">
        <v>24</v>
      </c>
      <c r="G14" s="57" t="s">
        <v>9</v>
      </c>
      <c r="H14" s="57" t="s">
        <v>25</v>
      </c>
    </row>
    <row r="15" spans="1:13" ht="15" x14ac:dyDescent="0.55000000000000004">
      <c r="B15" s="6" t="s">
        <v>12</v>
      </c>
      <c r="C15" s="12">
        <f>IF(C5="yes",C10,0)</f>
        <v>3</v>
      </c>
      <c r="D15" s="7">
        <f>(1-VLOOKUP(C6,SW_LID,2,0))*C10</f>
        <v>0</v>
      </c>
      <c r="E15" s="8">
        <f>SW_DC</f>
        <v>3230</v>
      </c>
      <c r="F15" s="8">
        <f t="shared" ref="F15:F20" si="1">IF(C15&lt;D15,0,(C15-D15)*E15)</f>
        <v>9690</v>
      </c>
      <c r="G15" s="9">
        <f>F15*GST</f>
        <v>1453.5</v>
      </c>
      <c r="H15" s="10">
        <f>F15+G15</f>
        <v>11143.5</v>
      </c>
    </row>
    <row r="16" spans="1:13" ht="15" x14ac:dyDescent="0.55000000000000004">
      <c r="B16" s="11" t="s">
        <v>11</v>
      </c>
      <c r="C16" s="12">
        <f>IF(C7="yes",C10,0)</f>
        <v>3</v>
      </c>
      <c r="D16" s="12">
        <v>0</v>
      </c>
      <c r="E16" s="13">
        <f>WW_DC</f>
        <v>5000</v>
      </c>
      <c r="F16" s="13">
        <f t="shared" si="1"/>
        <v>15000</v>
      </c>
      <c r="G16" s="14">
        <f>F16*GST</f>
        <v>2250</v>
      </c>
      <c r="H16" s="15">
        <f>F16+G16</f>
        <v>17250</v>
      </c>
      <c r="M16" s="29" t="s">
        <v>68</v>
      </c>
    </row>
    <row r="17" spans="2:8" ht="15" x14ac:dyDescent="0.55000000000000004">
      <c r="B17" s="11" t="s">
        <v>10</v>
      </c>
      <c r="C17" s="12">
        <f>IF(C8="yes",IF(C11="",C10,C10*VLOOKUP(C11,PipeSize_HUD,2,0)),0)</f>
        <v>3</v>
      </c>
      <c r="D17" s="12">
        <v>0</v>
      </c>
      <c r="E17" s="13">
        <f>WS_DC</f>
        <v>2050</v>
      </c>
      <c r="F17" s="13">
        <f t="shared" si="1"/>
        <v>6150</v>
      </c>
      <c r="G17" s="14">
        <f t="shared" ref="G17:G18" si="2">F17*GST</f>
        <v>922.5</v>
      </c>
      <c r="H17" s="15">
        <f t="shared" ref="H17:H18" si="3">F17+G17</f>
        <v>7072.5</v>
      </c>
    </row>
    <row r="18" spans="2:8" ht="15" x14ac:dyDescent="0.55000000000000004">
      <c r="B18" s="11" t="s">
        <v>14</v>
      </c>
      <c r="C18" s="12">
        <f>+C10</f>
        <v>3</v>
      </c>
      <c r="D18" s="12">
        <v>0</v>
      </c>
      <c r="E18" s="13">
        <f>Trans_DC</f>
        <v>1370</v>
      </c>
      <c r="F18" s="13">
        <f t="shared" si="1"/>
        <v>4110</v>
      </c>
      <c r="G18" s="14">
        <f t="shared" si="2"/>
        <v>616.5</v>
      </c>
      <c r="H18" s="15">
        <f t="shared" si="3"/>
        <v>4726.5</v>
      </c>
    </row>
    <row r="19" spans="2:8" ht="15" x14ac:dyDescent="0.55000000000000004">
      <c r="B19" s="11" t="s">
        <v>70</v>
      </c>
      <c r="C19" s="12">
        <f>IF(C12="yes",C10,0)</f>
        <v>3</v>
      </c>
      <c r="D19" s="12">
        <v>0</v>
      </c>
      <c r="E19" s="13">
        <f>CI_DC</f>
        <v>280</v>
      </c>
      <c r="F19" s="13">
        <f t="shared" si="1"/>
        <v>840</v>
      </c>
      <c r="G19" s="14">
        <f t="shared" ref="G19:G20" si="4">F19*GST</f>
        <v>126</v>
      </c>
      <c r="H19" s="15">
        <f t="shared" ref="H19:H20" si="5">F19+G19</f>
        <v>966</v>
      </c>
    </row>
    <row r="20" spans="2:8" ht="15" x14ac:dyDescent="0.55000000000000004">
      <c r="B20" s="11" t="s">
        <v>71</v>
      </c>
      <c r="C20" s="12">
        <f>IF(C12="yes",C10,0)</f>
        <v>3</v>
      </c>
      <c r="D20" s="12">
        <v>0</v>
      </c>
      <c r="E20" s="13">
        <f>GR_DC</f>
        <v>1160</v>
      </c>
      <c r="F20" s="13">
        <f t="shared" si="1"/>
        <v>3480</v>
      </c>
      <c r="G20" s="14">
        <f t="shared" si="4"/>
        <v>522</v>
      </c>
      <c r="H20" s="15">
        <f t="shared" si="5"/>
        <v>4002</v>
      </c>
    </row>
    <row r="21" spans="2:8" x14ac:dyDescent="0.55000000000000004">
      <c r="B21" s="122" t="s">
        <v>72</v>
      </c>
      <c r="C21" s="12"/>
      <c r="D21" s="12"/>
      <c r="E21" s="13"/>
      <c r="F21" s="129" t="s">
        <v>43</v>
      </c>
      <c r="G21" s="130"/>
      <c r="H21" s="131"/>
    </row>
    <row r="22" spans="2:8" ht="14.7" thickBot="1" x14ac:dyDescent="0.6">
      <c r="B22" s="123"/>
      <c r="C22" s="12"/>
      <c r="D22" s="12"/>
      <c r="E22" s="13"/>
      <c r="F22" s="132"/>
      <c r="G22" s="133"/>
      <c r="H22" s="134"/>
    </row>
    <row r="23" spans="2:8" ht="15.3" thickBot="1" x14ac:dyDescent="0.6">
      <c r="B23" s="16" t="s">
        <v>13</v>
      </c>
      <c r="C23" s="17"/>
      <c r="D23" s="17"/>
      <c r="E23" s="18">
        <f>SUM(E15:E22)</f>
        <v>13090</v>
      </c>
      <c r="F23" s="18">
        <f>SUM(F15:F22)</f>
        <v>39270</v>
      </c>
      <c r="G23" s="19">
        <f>SUM(G15:G22)</f>
        <v>5890.5</v>
      </c>
      <c r="H23" s="20">
        <f>SUM(H15:H22)</f>
        <v>45160.5</v>
      </c>
    </row>
    <row r="24" spans="2:8" x14ac:dyDescent="0.55000000000000004">
      <c r="B24" s="2"/>
    </row>
  </sheetData>
  <mergeCells count="5">
    <mergeCell ref="A1:H1"/>
    <mergeCell ref="A4:H4"/>
    <mergeCell ref="B21:B22"/>
    <mergeCell ref="F21:H22"/>
    <mergeCell ref="C6:H6"/>
  </mergeCells>
  <dataValidations count="4">
    <dataValidation type="list" allowBlank="1" showInputMessage="1" showErrorMessage="1" sqref="C11" xr:uid="{00000000-0002-0000-0200-000000000000}">
      <formula1>Pipe_Size</formula1>
    </dataValidation>
    <dataValidation type="list" allowBlank="1" showInputMessage="1" showErrorMessage="1" sqref="C12 C5 C7:C8" xr:uid="{00000000-0002-0000-0200-000001000000}">
      <formula1>$J$5:$K$5</formula1>
    </dataValidation>
    <dataValidation type="whole" operator="greaterThanOrEqual" allowBlank="1" showInputMessage="1" showErrorMessage="1" promptTitle="Must be a whole number" prompt="Exclude decimal points" sqref="C10" xr:uid="{00000000-0002-0000-0200-000003000000}">
      <formula1>0</formula1>
    </dataValidation>
    <dataValidation type="list" allowBlank="1" showInputMessage="1" showErrorMessage="1" sqref="C6:H6" xr:uid="{2C9B718F-AF96-44D7-919B-4B6FF7929F3D}">
      <formula1>SW_LID_Names</formula1>
    </dataValidation>
  </dataValidations>
  <pageMargins left="0.7" right="0.7" top="0.75" bottom="0.75" header="0.3" footer="0.3"/>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M42"/>
  <sheetViews>
    <sheetView zoomScale="90" zoomScaleNormal="90" workbookViewId="0">
      <selection activeCell="C15" sqref="C15"/>
    </sheetView>
  </sheetViews>
  <sheetFormatPr defaultColWidth="9.15625" defaultRowHeight="14.4" outlineLevelRow="2" outlineLevelCol="1" x14ac:dyDescent="0.55000000000000004"/>
  <cols>
    <col min="1" max="1" width="5.578125" style="29" customWidth="1"/>
    <col min="2" max="2" width="90.83984375" style="29" customWidth="1"/>
    <col min="3" max="3" width="18.41796875" style="29" customWidth="1"/>
    <col min="4" max="4" width="18.41796875" style="29" hidden="1" customWidth="1" outlineLevel="1"/>
    <col min="5" max="5" width="20.7890625" style="29" customWidth="1" collapsed="1"/>
    <col min="6" max="8" width="18.41796875" style="29" customWidth="1"/>
    <col min="9" max="9" width="11" style="29" customWidth="1"/>
    <col min="10" max="11" width="9.15625" style="29" hidden="1" customWidth="1" outlineLevel="1"/>
    <col min="12" max="12" width="9.15625" style="29" collapsed="1"/>
    <col min="13" max="16384" width="9.15625" style="29"/>
  </cols>
  <sheetData>
    <row r="1" spans="1:13" ht="32.5" customHeight="1" x14ac:dyDescent="0.55000000000000004">
      <c r="A1" s="120" t="s">
        <v>112</v>
      </c>
      <c r="B1" s="120"/>
      <c r="C1" s="120"/>
      <c r="D1" s="120"/>
      <c r="E1" s="120"/>
      <c r="F1" s="120"/>
      <c r="G1" s="120"/>
      <c r="H1" s="120"/>
    </row>
    <row r="2" spans="1:13" x14ac:dyDescent="0.55000000000000004">
      <c r="A2" s="30" t="s">
        <v>5</v>
      </c>
      <c r="B2" s="31"/>
      <c r="C2" s="31"/>
      <c r="D2" s="31"/>
      <c r="E2" s="31"/>
      <c r="F2" s="31"/>
      <c r="G2" s="31"/>
      <c r="H2" s="31"/>
    </row>
    <row r="3" spans="1:13" x14ac:dyDescent="0.55000000000000004">
      <c r="B3" s="4" t="s">
        <v>44</v>
      </c>
    </row>
    <row r="4" spans="1:13" s="2" customFormat="1" ht="20.25" customHeight="1" x14ac:dyDescent="0.4">
      <c r="A4" s="121" t="s">
        <v>48</v>
      </c>
      <c r="B4" s="121"/>
      <c r="C4" s="121"/>
      <c r="D4" s="121"/>
      <c r="E4" s="121"/>
      <c r="F4" s="121"/>
      <c r="G4" s="121"/>
      <c r="H4" s="121"/>
      <c r="I4" s="5"/>
    </row>
    <row r="5" spans="1:13" hidden="1" outlineLevel="1" x14ac:dyDescent="0.55000000000000004">
      <c r="B5" s="2" t="s">
        <v>7</v>
      </c>
      <c r="C5" s="82" t="s">
        <v>1</v>
      </c>
      <c r="D5" s="55" t="str">
        <f>IF(C5="","please enter Yes or No - see Section 9.1, Map 2 in Policy on DCs","")</f>
        <v/>
      </c>
      <c r="E5" s="29" t="s">
        <v>117</v>
      </c>
      <c r="F5" s="83">
        <v>0</v>
      </c>
      <c r="G5" s="32" t="str">
        <f>IF(C5="yes","please enter number of HUDs that receive central city exemption","")</f>
        <v/>
      </c>
      <c r="J5" s="29" t="s">
        <v>0</v>
      </c>
      <c r="K5" s="29" t="s">
        <v>1</v>
      </c>
    </row>
    <row r="6" spans="1:13" ht="6.75" hidden="1" customHeight="1" outlineLevel="1" x14ac:dyDescent="0.55000000000000004">
      <c r="B6" s="2"/>
      <c r="D6" s="33"/>
    </row>
    <row r="7" spans="1:13" hidden="1" outlineLevel="1" collapsed="1" x14ac:dyDescent="0.55000000000000004">
      <c r="B7" s="2" t="s">
        <v>4</v>
      </c>
      <c r="C7" s="82" t="s">
        <v>69</v>
      </c>
      <c r="D7" s="32" t="str">
        <f>IF(C7="","please enter Yes or No","")</f>
        <v/>
      </c>
      <c r="H7" s="29" t="s">
        <v>17</v>
      </c>
    </row>
    <row r="8" spans="1:13" ht="14.4" hidden="1" customHeight="1" outlineLevel="2" x14ac:dyDescent="0.55000000000000004">
      <c r="B8" s="71" t="s">
        <v>103</v>
      </c>
      <c r="C8" s="127" t="s">
        <v>122</v>
      </c>
      <c r="D8" s="128"/>
      <c r="E8" s="128"/>
      <c r="F8" s="128"/>
      <c r="G8" s="128"/>
      <c r="H8" s="128"/>
      <c r="I8" s="70" t="str">
        <f>IF(C8="","please if SW LID applies","")</f>
        <v/>
      </c>
    </row>
    <row r="9" spans="1:13" hidden="1" outlineLevel="1" collapsed="1" x14ac:dyDescent="0.55000000000000004">
      <c r="B9" s="2" t="s">
        <v>3</v>
      </c>
      <c r="C9" s="82" t="s">
        <v>69</v>
      </c>
      <c r="D9" s="32" t="str">
        <f t="shared" ref="D9:D10" si="0">IF(C9="","please enter Yes or No","")</f>
        <v/>
      </c>
    </row>
    <row r="10" spans="1:13" hidden="1" outlineLevel="1" x14ac:dyDescent="0.55000000000000004">
      <c r="B10" s="2" t="s">
        <v>2</v>
      </c>
      <c r="C10" s="82" t="s">
        <v>69</v>
      </c>
      <c r="D10" s="32" t="str">
        <f t="shared" si="0"/>
        <v/>
      </c>
    </row>
    <row r="11" spans="1:13" ht="13.15" hidden="1" customHeight="1" outlineLevel="1" x14ac:dyDescent="0.55000000000000004">
      <c r="D11" s="33"/>
      <c r="J11" s="29">
        <v>0.5</v>
      </c>
    </row>
    <row r="12" spans="1:13" collapsed="1" x14ac:dyDescent="0.55000000000000004">
      <c r="B12" s="38" t="s">
        <v>45</v>
      </c>
      <c r="C12" s="39">
        <v>1</v>
      </c>
      <c r="D12" s="100"/>
      <c r="E12" s="32" t="str">
        <f>IF(C12="","please enter the number of new 1 bedroom residential units","0.5 HUD per 1 bedroom residential unit")</f>
        <v>0.5 HUD per 1 bedroom residential unit</v>
      </c>
      <c r="J12" s="29">
        <v>0.75</v>
      </c>
    </row>
    <row r="13" spans="1:13" x14ac:dyDescent="0.55000000000000004">
      <c r="B13" s="38" t="s">
        <v>46</v>
      </c>
      <c r="C13" s="39">
        <v>2</v>
      </c>
      <c r="D13" s="100"/>
      <c r="E13" s="32" t="str">
        <f>IF(C13="","please enter the number of new 2 bedroom residential units","0.75 HUD per 2 bedroom residential unit")</f>
        <v>0.75 HUD per 2 bedroom residential unit</v>
      </c>
      <c r="J13" s="29">
        <v>1</v>
      </c>
    </row>
    <row r="14" spans="1:13" x14ac:dyDescent="0.55000000000000004">
      <c r="B14" s="38" t="s">
        <v>47</v>
      </c>
      <c r="C14" s="39">
        <v>3</v>
      </c>
      <c r="D14" s="100"/>
      <c r="E14" s="32" t="str">
        <f>IF(C14="","please enter the number of new 3 bedroom residential units","1 HUD per 3+ bedroom residential unit")</f>
        <v>1 HUD per 3+ bedroom residential unit</v>
      </c>
    </row>
    <row r="15" spans="1:13" ht="13.5" customHeight="1" x14ac:dyDescent="0.55000000000000004">
      <c r="B15" s="37" t="s">
        <v>104</v>
      </c>
      <c r="C15" s="34" t="s">
        <v>40</v>
      </c>
      <c r="D15" s="34"/>
      <c r="E15" s="34" t="s">
        <v>41</v>
      </c>
      <c r="L15" s="35" t="s">
        <v>138</v>
      </c>
    </row>
    <row r="16" spans="1:13" x14ac:dyDescent="0.55000000000000004">
      <c r="B16" s="38" t="s">
        <v>135</v>
      </c>
      <c r="C16" s="39"/>
      <c r="D16" s="39"/>
      <c r="E16" s="39"/>
      <c r="F16" s="32" t="str">
        <f>IF(C16="","if applicable, please enter the pre and post development number of bedrooms","")</f>
        <v>if applicable, please enter the pre and post development number of bedrooms</v>
      </c>
      <c r="J16" s="29">
        <f>IF(E16-C16=1,0.25, IF(E16-C16=2,0.5,0))</f>
        <v>0</v>
      </c>
      <c r="M16" s="35"/>
    </row>
    <row r="17" spans="1:13" x14ac:dyDescent="0.55000000000000004">
      <c r="M17" s="35"/>
    </row>
    <row r="18" spans="1:13" x14ac:dyDescent="0.55000000000000004">
      <c r="B18" s="72" t="s">
        <v>106</v>
      </c>
      <c r="C18" s="61"/>
      <c r="D18" s="101"/>
      <c r="E18" s="32" t="str">
        <f>IF(C18="","please enter the total land value of the title","")</f>
        <v>please enter the total land value of the title</v>
      </c>
    </row>
    <row r="19" spans="1:13" ht="14.7" x14ac:dyDescent="0.55000000000000004">
      <c r="B19" s="2" t="s">
        <v>89</v>
      </c>
      <c r="C19" s="62"/>
      <c r="D19" s="102"/>
      <c r="E19" s="32" t="str">
        <f>IF(C19="","please enter the total land area (m2) of the title","")</f>
        <v>please enter the total land area (m2) of the title</v>
      </c>
    </row>
    <row r="20" spans="1:13" hidden="1" outlineLevel="1" x14ac:dyDescent="0.55000000000000004">
      <c r="B20" s="2" t="s">
        <v>86</v>
      </c>
      <c r="C20" s="84" t="s">
        <v>88</v>
      </c>
      <c r="D20" s="84"/>
      <c r="E20" s="32" t="str">
        <f>IF(C20="","select land or cash","")</f>
        <v/>
      </c>
    </row>
    <row r="21" spans="1:13" collapsed="1" x14ac:dyDescent="0.55000000000000004">
      <c r="B21" s="2"/>
      <c r="C21" s="32"/>
      <c r="D21" s="32"/>
      <c r="E21" s="32"/>
    </row>
    <row r="22" spans="1:13" customFormat="1" hidden="1" outlineLevel="1" x14ac:dyDescent="0.55000000000000004">
      <c r="A22" s="29"/>
      <c r="B22" s="2" t="s">
        <v>90</v>
      </c>
      <c r="C22" s="87">
        <f>SUMPRODUCT(C12:C14,J11:J13)+J16</f>
        <v>5</v>
      </c>
      <c r="D22" s="29"/>
      <c r="E22" s="29"/>
      <c r="F22" s="29"/>
      <c r="G22" s="29"/>
      <c r="H22" s="29"/>
      <c r="I22" s="29"/>
      <c r="J22" s="29"/>
      <c r="K22" s="29"/>
      <c r="L22" s="29"/>
      <c r="M22" s="29"/>
    </row>
    <row r="23" spans="1:13" ht="14.7" hidden="1" outlineLevel="1" x14ac:dyDescent="0.55000000000000004">
      <c r="B23" s="2" t="s">
        <v>75</v>
      </c>
      <c r="C23" s="85" t="e">
        <f>+C18/C19</f>
        <v>#DIV/0!</v>
      </c>
      <c r="D23" s="32" t="s">
        <v>79</v>
      </c>
    </row>
    <row r="24" spans="1:13" ht="14.7" hidden="1" outlineLevel="1" x14ac:dyDescent="0.55000000000000004">
      <c r="B24" s="2" t="s">
        <v>80</v>
      </c>
      <c r="C24" s="86">
        <v>40</v>
      </c>
      <c r="D24" s="32" t="s">
        <v>82</v>
      </c>
    </row>
    <row r="25" spans="1:13" hidden="1" outlineLevel="1" x14ac:dyDescent="0.55000000000000004">
      <c r="B25" s="2" t="s">
        <v>83</v>
      </c>
      <c r="C25" s="85" t="e">
        <f>+C22*C24*C23</f>
        <v>#DIV/0!</v>
      </c>
      <c r="D25" s="32"/>
    </row>
    <row r="26" spans="1:13" hidden="1" outlineLevel="1" x14ac:dyDescent="0.55000000000000004">
      <c r="B26" s="38" t="s">
        <v>76</v>
      </c>
      <c r="C26" s="85" t="s">
        <v>43</v>
      </c>
      <c r="D26" s="32"/>
    </row>
    <row r="27" spans="1:13" ht="14.7" hidden="1" outlineLevel="1" x14ac:dyDescent="0.55000000000000004">
      <c r="B27" s="38" t="s">
        <v>78</v>
      </c>
      <c r="C27" s="85" t="e">
        <f>+C22*20*C23</f>
        <v>#DIV/0!</v>
      </c>
      <c r="D27" s="32"/>
    </row>
    <row r="28" spans="1:13" hidden="1" outlineLevel="1" x14ac:dyDescent="0.55000000000000004">
      <c r="B28" s="2" t="s">
        <v>77</v>
      </c>
      <c r="C28" s="85" t="e">
        <f>MAX(C26:C27)</f>
        <v>#DIV/0!</v>
      </c>
      <c r="D28" s="32"/>
    </row>
    <row r="29" spans="1:13" hidden="1" outlineLevel="1" x14ac:dyDescent="0.55000000000000004">
      <c r="B29" s="2" t="s">
        <v>84</v>
      </c>
      <c r="C29" s="85" t="e">
        <f>+C28-F38</f>
        <v>#DIV/0!</v>
      </c>
      <c r="D29" s="32"/>
    </row>
    <row r="30" spans="1:13" ht="14.7" hidden="1" outlineLevel="1" x14ac:dyDescent="0.55000000000000004">
      <c r="B30" s="2" t="s">
        <v>85</v>
      </c>
      <c r="C30" s="86" t="e">
        <f>+MIN(C29,C25)/C23</f>
        <v>#DIV/0!</v>
      </c>
      <c r="D30" s="32" t="s">
        <v>81</v>
      </c>
    </row>
    <row r="31" spans="1:13" ht="14.7" collapsed="1" thickBot="1" x14ac:dyDescent="0.6">
      <c r="B31" s="2"/>
    </row>
    <row r="32" spans="1:13" ht="37.200000000000003" thickBot="1" x14ac:dyDescent="0.6">
      <c r="B32" s="56" t="s">
        <v>8</v>
      </c>
      <c r="C32" s="57" t="s">
        <v>16</v>
      </c>
      <c r="D32" s="57" t="s">
        <v>107</v>
      </c>
      <c r="E32" s="57" t="s">
        <v>15</v>
      </c>
      <c r="F32" s="57" t="s">
        <v>24</v>
      </c>
      <c r="G32" s="57" t="s">
        <v>9</v>
      </c>
      <c r="H32" s="57" t="s">
        <v>25</v>
      </c>
    </row>
    <row r="33" spans="2:10" ht="15" x14ac:dyDescent="0.55000000000000004">
      <c r="B33" s="6" t="s">
        <v>12</v>
      </c>
      <c r="C33" s="12">
        <f>IF(C7="yes",C22,0)</f>
        <v>5</v>
      </c>
      <c r="D33" s="7">
        <f>IF(C$5="yes",MIN(C$33,$F$5),0)+(1-VLOOKUP(C8,SW_LID,2,0))*C33</f>
        <v>0</v>
      </c>
      <c r="E33" s="8">
        <f>SW_DC</f>
        <v>3230</v>
      </c>
      <c r="F33" s="8">
        <f t="shared" ref="F33:F38" si="1">IF(C33&lt;D33,0,(C33-D33)*E33)</f>
        <v>16150</v>
      </c>
      <c r="G33" s="9">
        <f>F33*GST</f>
        <v>2422.5</v>
      </c>
      <c r="H33" s="10">
        <f>F33+G33</f>
        <v>18572.5</v>
      </c>
    </row>
    <row r="34" spans="2:10" ht="15" x14ac:dyDescent="0.55000000000000004">
      <c r="B34" s="11" t="s">
        <v>11</v>
      </c>
      <c r="C34" s="12">
        <f>IF(C9="yes",C22,0)</f>
        <v>5</v>
      </c>
      <c r="D34" s="12">
        <f>IF(C$5="yes",MIN(C$34,$F$5),0)</f>
        <v>0</v>
      </c>
      <c r="E34" s="13">
        <f>WW_DC</f>
        <v>5000</v>
      </c>
      <c r="F34" s="13">
        <f t="shared" si="1"/>
        <v>25000</v>
      </c>
      <c r="G34" s="14">
        <f>F34*GST</f>
        <v>3750</v>
      </c>
      <c r="H34" s="15">
        <f>F34+G34</f>
        <v>28750</v>
      </c>
    </row>
    <row r="35" spans="2:10" ht="15" x14ac:dyDescent="0.55000000000000004">
      <c r="B35" s="11" t="s">
        <v>10</v>
      </c>
      <c r="C35" s="12">
        <f>IF(C10="yes",C22,0)</f>
        <v>5</v>
      </c>
      <c r="D35" s="12">
        <f>IF(C$5="yes",MIN(C$35,$F$5),0)</f>
        <v>0</v>
      </c>
      <c r="E35" s="13">
        <f>WS_DC</f>
        <v>2050</v>
      </c>
      <c r="F35" s="13">
        <f t="shared" si="1"/>
        <v>10250</v>
      </c>
      <c r="G35" s="14">
        <f t="shared" ref="G35:G39" si="2">F35*GST</f>
        <v>1537.5</v>
      </c>
      <c r="H35" s="15">
        <f t="shared" ref="H35:H39" si="3">F35+G35</f>
        <v>11787.5</v>
      </c>
    </row>
    <row r="36" spans="2:10" ht="15" x14ac:dyDescent="0.55000000000000004">
      <c r="B36" s="11" t="s">
        <v>14</v>
      </c>
      <c r="C36" s="12">
        <f>+$C$22</f>
        <v>5</v>
      </c>
      <c r="D36" s="12">
        <f>IF(C$5="yes",MIN(C$36,$F$5),0)</f>
        <v>0</v>
      </c>
      <c r="E36" s="13">
        <f>Trans_DC</f>
        <v>1370</v>
      </c>
      <c r="F36" s="13">
        <f t="shared" si="1"/>
        <v>6850</v>
      </c>
      <c r="G36" s="14">
        <f t="shared" si="2"/>
        <v>1027.5</v>
      </c>
      <c r="H36" s="15">
        <f t="shared" si="3"/>
        <v>7877.5</v>
      </c>
    </row>
    <row r="37" spans="2:10" ht="15" x14ac:dyDescent="0.55000000000000004">
      <c r="B37" s="11" t="s">
        <v>70</v>
      </c>
      <c r="C37" s="12">
        <f>+$C$22</f>
        <v>5</v>
      </c>
      <c r="D37" s="12">
        <f>IF(C$5="yes",MIN(C$37,$F$5),0)</f>
        <v>0</v>
      </c>
      <c r="E37" s="13">
        <f>CI_DC</f>
        <v>280</v>
      </c>
      <c r="F37" s="13">
        <f t="shared" si="1"/>
        <v>1400</v>
      </c>
      <c r="G37" s="14">
        <f t="shared" si="2"/>
        <v>210</v>
      </c>
      <c r="H37" s="15">
        <f t="shared" si="3"/>
        <v>1610</v>
      </c>
    </row>
    <row r="38" spans="2:10" ht="15" x14ac:dyDescent="0.55000000000000004">
      <c r="B38" s="11" t="s">
        <v>71</v>
      </c>
      <c r="C38" s="12">
        <f>+$C$22</f>
        <v>5</v>
      </c>
      <c r="D38" s="12">
        <f>IF(C$5="yes",MIN(C$38,$F$5),0)</f>
        <v>0</v>
      </c>
      <c r="E38" s="13">
        <f>GR_DC</f>
        <v>1160</v>
      </c>
      <c r="F38" s="13">
        <f t="shared" si="1"/>
        <v>5800</v>
      </c>
      <c r="G38" s="14">
        <f t="shared" si="2"/>
        <v>870</v>
      </c>
      <c r="H38" s="15">
        <f t="shared" si="3"/>
        <v>6670</v>
      </c>
    </row>
    <row r="39" spans="2:10" ht="15.3" thickBot="1" x14ac:dyDescent="0.6">
      <c r="B39" s="122" t="s">
        <v>72</v>
      </c>
      <c r="C39" s="12">
        <f>+$C$22</f>
        <v>5</v>
      </c>
      <c r="D39" s="12">
        <f>IF(AND(C$5="yes",F5&gt;0)=TRUE,MIN(C$39,$F$5),0)</f>
        <v>0</v>
      </c>
      <c r="E39" s="13" t="e">
        <f>IF(C39-D39&lt;=0,"",IF(C20="cash",IF(C25&gt;C29,C29,C25)/C22,"n/a - land"))</f>
        <v>#DIV/0!</v>
      </c>
      <c r="F39" s="13">
        <f>IF(C39&lt;D39,0,IFERROR((C39-D39)*E39,0))</f>
        <v>0</v>
      </c>
      <c r="G39" s="14">
        <f t="shared" si="2"/>
        <v>0</v>
      </c>
      <c r="H39" s="15">
        <f t="shared" si="3"/>
        <v>0</v>
      </c>
      <c r="J39" s="29" t="s">
        <v>88</v>
      </c>
    </row>
    <row r="40" spans="2:10" ht="14.7" hidden="1" outlineLevel="1" thickBot="1" x14ac:dyDescent="0.6">
      <c r="B40" s="123"/>
      <c r="C40" s="12"/>
      <c r="D40" s="12"/>
      <c r="E40" s="13"/>
      <c r="F40" s="124" t="str">
        <f>IF(C20="Land",IF(C39-D39&gt;0,ROUND(C30,0)&amp;" m2 of suitable neighbourhood reserve land",""),"n/a - cash")</f>
        <v>n/a - cash</v>
      </c>
      <c r="G40" s="125"/>
      <c r="H40" s="126"/>
      <c r="I40" s="29" t="s">
        <v>87</v>
      </c>
    </row>
    <row r="41" spans="2:10" ht="15.3" collapsed="1" thickBot="1" x14ac:dyDescent="0.6">
      <c r="B41" s="16" t="s">
        <v>13</v>
      </c>
      <c r="C41" s="17"/>
      <c r="D41" s="17"/>
      <c r="E41" s="18" t="e">
        <f>SUM(E33:E40)</f>
        <v>#DIV/0!</v>
      </c>
      <c r="F41" s="18">
        <f>SUM(F33:F40)</f>
        <v>65450</v>
      </c>
      <c r="G41" s="19">
        <f>SUM(G33:G40)</f>
        <v>9817.5</v>
      </c>
      <c r="H41" s="20">
        <f>SUM(H33:H40)</f>
        <v>75267.5</v>
      </c>
    </row>
    <row r="42" spans="2:10" x14ac:dyDescent="0.55000000000000004">
      <c r="B42" s="2" t="str">
        <f>IFERROR(IF(F38+F39=C27,"Note : 20m2 cap applies",""),"")</f>
        <v/>
      </c>
    </row>
  </sheetData>
  <sheetProtection algorithmName="SHA-512" hashValue="bHXY2g4TsKKT3O9FqT0vPt2CrteLAqCO+hd+ZTAgPFsPt4U3C7jw67R//JtkDHnda4oPLutvxhAzz8OLc9RzSQ==" saltValue="oTeNOu7ckjmUfw54zbyQMA==" spinCount="100000" sheet="1" objects="1" scenarios="1"/>
  <mergeCells count="5">
    <mergeCell ref="A1:H1"/>
    <mergeCell ref="A4:H4"/>
    <mergeCell ref="B39:B40"/>
    <mergeCell ref="F40:H40"/>
    <mergeCell ref="C8:H8"/>
  </mergeCells>
  <dataValidations count="9">
    <dataValidation type="list" allowBlank="1" showInputMessage="1" showErrorMessage="1" sqref="C5 C7 C9:C10" xr:uid="{00000000-0002-0000-0400-000000000000}">
      <formula1>$J$5:$K$5</formula1>
    </dataValidation>
    <dataValidation type="whole" operator="greaterThanOrEqual" allowBlank="1" showInputMessage="1" showErrorMessage="1" promptTitle="Must be a whole number" prompt="Exclude decimal point/cents" sqref="C18:D19" xr:uid="{00000000-0002-0000-0400-000001000000}">
      <formula1>0</formula1>
    </dataValidation>
    <dataValidation type="whole" operator="greaterThanOrEqual" allowBlank="1" showInputMessage="1" showErrorMessage="1" promptTitle="Must be a whole number" prompt="Exclude decimal points" sqref="C12:D14" xr:uid="{00000000-0002-0000-0400-000002000000}">
      <formula1>0</formula1>
    </dataValidation>
    <dataValidation type="list" operator="greaterThanOrEqual" allowBlank="1" showInputMessage="1" showErrorMessage="1" promptTitle="Neighbourhood reserves" prompt="Provide as land or cash" sqref="C20:D20" xr:uid="{C27137E1-803A-4C08-BB0F-0C81D1E0FB54}">
      <formula1>"Land, Cash"</formula1>
    </dataValidation>
    <dataValidation operator="greaterThanOrEqual" allowBlank="1" showInputMessage="1" showErrorMessage="1" sqref="C23:C30" xr:uid="{468FE12A-92C5-403A-8ED9-E7B4553FCDC5}"/>
    <dataValidation type="whole" allowBlank="1" showInputMessage="1" showErrorMessage="1" promptTitle="Existing bedrooms" prompt="Must be 1 or 2. Exclude decimal points." sqref="C16:D16" xr:uid="{A8B70D7B-BA1B-4C90-A9FA-57E3596025C0}">
      <formula1>1</formula1>
      <formula2>2</formula2>
    </dataValidation>
    <dataValidation type="whole" allowBlank="1" showInputMessage="1" showErrorMessage="1" promptTitle="Proposed bedrooms" prompt="Must be 2 or 3. For greater than 3 bedrooms, enter 3. Exclude decimal points." sqref="E16" xr:uid="{51074C37-DEF7-4C18-AE32-8ECC2C8DD379}">
      <formula1>2</formula1>
      <formula2>3</formula2>
    </dataValidation>
    <dataValidation type="whole" allowBlank="1" showInputMessage="1" showErrorMessage="1" promptTitle="Must be a whole number" prompt="Must be no greater than 30 HUDs" sqref="F5" xr:uid="{F63C5C04-46B5-4BC2-BE10-990A4BA53CBF}">
      <formula1>0</formula1>
      <formula2>30</formula2>
    </dataValidation>
    <dataValidation type="list" allowBlank="1" showInputMessage="1" showErrorMessage="1" sqref="C8:H8" xr:uid="{55C23B41-FD7B-40E9-91EA-ECBB62CD9093}">
      <formula1>SW_LID_Names</formula1>
    </dataValidation>
  </dataValidations>
  <hyperlinks>
    <hyperlink ref="L15" location="Sec5.3.2" display="See Section 5.3.2" xr:uid="{4F39A276-B78D-4D26-B51F-D1285A790149}"/>
  </hyperlinks>
  <pageMargins left="0.7" right="0.7" top="0.75" bottom="0.75" header="0.3" footer="0.3"/>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pageSetUpPr fitToPage="1"/>
  </sheetPr>
  <dimension ref="A1:P30"/>
  <sheetViews>
    <sheetView zoomScale="75" zoomScaleNormal="75" workbookViewId="0">
      <selection activeCell="E18" sqref="E18:E22"/>
    </sheetView>
  </sheetViews>
  <sheetFormatPr defaultColWidth="9.15625" defaultRowHeight="14.4" outlineLevelCol="1" x14ac:dyDescent="0.55000000000000004"/>
  <cols>
    <col min="1" max="1" width="3.68359375" style="29" customWidth="1"/>
    <col min="2" max="2" width="81.68359375" style="29" customWidth="1"/>
    <col min="3" max="8" width="18.41796875" style="29" customWidth="1"/>
    <col min="9" max="9" width="6.1015625" style="29" customWidth="1"/>
    <col min="10" max="11" width="9.15625" style="29" hidden="1" customWidth="1" outlineLevel="1"/>
    <col min="12" max="12" width="12.1015625" style="29" customWidth="1" collapsed="1"/>
    <col min="13" max="16" width="12.1015625" style="29" customWidth="1"/>
    <col min="17" max="16384" width="9.15625" style="29"/>
  </cols>
  <sheetData>
    <row r="1" spans="1:16" ht="35.5" customHeight="1" x14ac:dyDescent="0.55000000000000004">
      <c r="A1" s="120" t="s">
        <v>112</v>
      </c>
      <c r="B1" s="120"/>
      <c r="C1" s="120"/>
      <c r="D1" s="120"/>
      <c r="E1" s="120"/>
      <c r="F1" s="120"/>
      <c r="G1" s="120"/>
      <c r="H1" s="120"/>
    </row>
    <row r="2" spans="1:16" x14ac:dyDescent="0.55000000000000004">
      <c r="A2" s="30" t="s">
        <v>6</v>
      </c>
      <c r="B2" s="31"/>
      <c r="C2" s="31"/>
      <c r="D2" s="31"/>
      <c r="E2" s="31"/>
      <c r="F2" s="31"/>
      <c r="G2" s="31"/>
      <c r="H2" s="31"/>
    </row>
    <row r="3" spans="1:16" x14ac:dyDescent="0.55000000000000004">
      <c r="B3" s="4" t="s">
        <v>42</v>
      </c>
    </row>
    <row r="4" spans="1:16" x14ac:dyDescent="0.55000000000000004">
      <c r="B4" s="2" t="s">
        <v>4</v>
      </c>
      <c r="C4" s="3" t="s">
        <v>69</v>
      </c>
      <c r="D4" s="32" t="str">
        <f>IF(C4="","please enter Yes or No","")</f>
        <v/>
      </c>
      <c r="H4" s="29" t="s">
        <v>17</v>
      </c>
      <c r="J4" s="29" t="s">
        <v>0</v>
      </c>
      <c r="K4" s="29" t="s">
        <v>1</v>
      </c>
    </row>
    <row r="5" spans="1:16" ht="14.4" customHeight="1" x14ac:dyDescent="0.55000000000000004">
      <c r="B5" s="71" t="s">
        <v>103</v>
      </c>
      <c r="C5" s="135" t="s">
        <v>122</v>
      </c>
      <c r="D5" s="136"/>
      <c r="E5" s="136"/>
      <c r="F5" s="136"/>
      <c r="G5" s="136"/>
      <c r="H5" s="136"/>
      <c r="I5" s="70" t="str">
        <f>IF(C5="","please if SW LID applies","")</f>
        <v/>
      </c>
    </row>
    <row r="6" spans="1:16" x14ac:dyDescent="0.55000000000000004">
      <c r="B6" s="2" t="s">
        <v>3</v>
      </c>
      <c r="C6" s="3" t="s">
        <v>69</v>
      </c>
      <c r="D6" s="32" t="str">
        <f t="shared" ref="D6:D7" si="0">IF(C6="","please enter Yes or No","")</f>
        <v/>
      </c>
    </row>
    <row r="7" spans="1:16" x14ac:dyDescent="0.55000000000000004">
      <c r="B7" s="2" t="s">
        <v>2</v>
      </c>
      <c r="C7" s="3" t="s">
        <v>69</v>
      </c>
      <c r="D7" s="32" t="str">
        <f t="shared" si="0"/>
        <v/>
      </c>
    </row>
    <row r="8" spans="1:16" ht="8.25" customHeight="1" x14ac:dyDescent="0.55000000000000004"/>
    <row r="9" spans="1:16" ht="13.5" customHeight="1" x14ac:dyDescent="0.55000000000000004">
      <c r="B9" s="37" t="s">
        <v>116</v>
      </c>
      <c r="C9" s="34" t="s">
        <v>40</v>
      </c>
      <c r="D9" s="34" t="s">
        <v>41</v>
      </c>
      <c r="L9" s="36" t="s">
        <v>100</v>
      </c>
    </row>
    <row r="10" spans="1:16" x14ac:dyDescent="0.55000000000000004">
      <c r="B10" s="38" t="s">
        <v>39</v>
      </c>
      <c r="C10" s="39">
        <v>100</v>
      </c>
      <c r="D10" s="39">
        <v>200</v>
      </c>
      <c r="E10" s="32" t="str">
        <f>IF(C4="No","",IF(OR(C10="",D10=""),"please enter the pre and post development ISA",""))</f>
        <v/>
      </c>
      <c r="L10" s="35"/>
    </row>
    <row r="11" spans="1:16" x14ac:dyDescent="0.55000000000000004">
      <c r="B11" s="38" t="s">
        <v>38</v>
      </c>
      <c r="C11" s="39">
        <v>1</v>
      </c>
      <c r="D11" s="39">
        <v>2</v>
      </c>
      <c r="E11" s="32" t="str">
        <f>IF(C6="no","",IF(OR(C11="",D11=""),"please enter the pre and post development numner of pans",""))</f>
        <v/>
      </c>
      <c r="L11" s="35"/>
    </row>
    <row r="12" spans="1:16" x14ac:dyDescent="0.55000000000000004">
      <c r="B12" s="38" t="s">
        <v>23</v>
      </c>
      <c r="C12" s="1">
        <v>20</v>
      </c>
      <c r="D12" s="1">
        <v>40</v>
      </c>
      <c r="E12" s="32" t="str">
        <f>IF(C7="No","",IF(OR(C12="",D12=""),"please enter the pre and post development water supply pipe connection size",""))</f>
        <v/>
      </c>
      <c r="L12" s="137" t="s">
        <v>99</v>
      </c>
      <c r="M12" s="138"/>
      <c r="N12" s="138"/>
      <c r="O12" s="138"/>
      <c r="P12" s="139"/>
    </row>
    <row r="13" spans="1:16" x14ac:dyDescent="0.55000000000000004">
      <c r="B13" s="38" t="s">
        <v>62</v>
      </c>
      <c r="C13" s="39">
        <v>2</v>
      </c>
      <c r="D13" s="39">
        <v>4</v>
      </c>
      <c r="E13" s="32" t="str">
        <f>IF(OR(C13="",D13=""),"please enter the pre and post development number of car parks required - see section 5.3.2","")</f>
        <v/>
      </c>
      <c r="L13" s="140"/>
      <c r="M13" s="141"/>
      <c r="N13" s="141"/>
      <c r="O13" s="141"/>
      <c r="P13" s="142"/>
    </row>
    <row r="14" spans="1:16" x14ac:dyDescent="0.55000000000000004">
      <c r="B14" s="38" t="s">
        <v>93</v>
      </c>
      <c r="C14" s="3" t="s">
        <v>0</v>
      </c>
      <c r="D14" s="32"/>
      <c r="E14" s="32"/>
      <c r="L14" s="140"/>
      <c r="M14" s="141"/>
      <c r="N14" s="141"/>
      <c r="O14" s="141"/>
      <c r="P14" s="142"/>
    </row>
    <row r="15" spans="1:16" x14ac:dyDescent="0.55000000000000004">
      <c r="B15" s="2" t="s">
        <v>114</v>
      </c>
      <c r="C15" s="39">
        <v>5</v>
      </c>
      <c r="D15" s="39">
        <v>10</v>
      </c>
      <c r="E15" s="32" t="str">
        <f>IF(AND(C14="yes",OR(C15="",D15=""))=TRUE,"please enter the number of accommodation units","")</f>
        <v/>
      </c>
      <c r="L15" s="140"/>
      <c r="M15" s="141"/>
      <c r="N15" s="141"/>
      <c r="O15" s="141"/>
      <c r="P15" s="142"/>
    </row>
    <row r="16" spans="1:16" ht="14.7" thickBot="1" x14ac:dyDescent="0.6">
      <c r="B16" s="2"/>
      <c r="E16" s="59"/>
      <c r="L16" s="140"/>
      <c r="M16" s="141"/>
      <c r="N16" s="141"/>
      <c r="O16" s="141"/>
      <c r="P16" s="142"/>
    </row>
    <row r="17" spans="2:16" ht="37.200000000000003" thickBot="1" x14ac:dyDescent="0.6">
      <c r="B17" s="56" t="s">
        <v>8</v>
      </c>
      <c r="C17" s="57" t="s">
        <v>16</v>
      </c>
      <c r="D17" s="57" t="s">
        <v>107</v>
      </c>
      <c r="E17" s="57" t="s">
        <v>15</v>
      </c>
      <c r="F17" s="57" t="s">
        <v>24</v>
      </c>
      <c r="G17" s="57" t="s">
        <v>9</v>
      </c>
      <c r="H17" s="57" t="s">
        <v>25</v>
      </c>
      <c r="L17" s="143"/>
      <c r="M17" s="144"/>
      <c r="N17" s="144"/>
      <c r="O17" s="144"/>
      <c r="P17" s="145"/>
    </row>
    <row r="18" spans="2:16" ht="15" x14ac:dyDescent="0.55000000000000004">
      <c r="B18" s="6" t="s">
        <v>12</v>
      </c>
      <c r="C18" s="12">
        <f>IF(C4="yes",(D10-C10)/NonRes_SW,0)</f>
        <v>0.31645569620253167</v>
      </c>
      <c r="D18" s="7">
        <f>+(1-VLOOKUP(C5,SW_LID,2,0))*C18</f>
        <v>0</v>
      </c>
      <c r="E18" s="8">
        <f>SW_DC</f>
        <v>3230</v>
      </c>
      <c r="F18" s="8">
        <f t="shared" ref="F18:F23" si="1">IF(C18&lt;D18,0,(C18-D18)*E18)</f>
        <v>1022.1518987341773</v>
      </c>
      <c r="G18" s="9">
        <f>F18*GST</f>
        <v>153.32278481012659</v>
      </c>
      <c r="H18" s="10">
        <f>F18+G18</f>
        <v>1175.4746835443038</v>
      </c>
    </row>
    <row r="19" spans="2:16" ht="15" x14ac:dyDescent="0.55000000000000004">
      <c r="B19" s="11" t="s">
        <v>60</v>
      </c>
      <c r="C19" s="12">
        <f>IFERROR(IF(C6="yes",MAX(C20,(D11-C11)/NonRes_WW),0),0)</f>
        <v>3</v>
      </c>
      <c r="D19" s="12">
        <v>0</v>
      </c>
      <c r="E19" s="13">
        <f>WW_DC</f>
        <v>5000</v>
      </c>
      <c r="F19" s="13">
        <f t="shared" si="1"/>
        <v>15000</v>
      </c>
      <c r="G19" s="14">
        <f>F19*GST</f>
        <v>2250</v>
      </c>
      <c r="H19" s="15">
        <f>F19+G19</f>
        <v>17250</v>
      </c>
    </row>
    <row r="20" spans="2:16" ht="15" x14ac:dyDescent="0.55000000000000004">
      <c r="B20" s="11" t="s">
        <v>10</v>
      </c>
      <c r="C20" s="12">
        <f>IFERROR(IF(C7="yes",MAX(0,VLOOKUP(D12,PipeSize_HUD,2,0)-VLOOKUP(C12,PipeSize_HUD,2,0)),0),0)</f>
        <v>3</v>
      </c>
      <c r="D20" s="12">
        <v>0</v>
      </c>
      <c r="E20" s="13">
        <f>WS_DC</f>
        <v>2050</v>
      </c>
      <c r="F20" s="13">
        <f t="shared" si="1"/>
        <v>6150</v>
      </c>
      <c r="G20" s="14">
        <f t="shared" ref="G20:G23" si="2">F20*GST</f>
        <v>922.5</v>
      </c>
      <c r="H20" s="15">
        <f t="shared" ref="H20:H23" si="3">F20+G20</f>
        <v>7072.5</v>
      </c>
    </row>
    <row r="21" spans="2:16" ht="15" x14ac:dyDescent="0.55000000000000004">
      <c r="B21" s="11" t="s">
        <v>14</v>
      </c>
      <c r="C21" s="12">
        <f>+(D13-C13)/NonRes_Trans</f>
        <v>0.5</v>
      </c>
      <c r="D21" s="12">
        <v>0</v>
      </c>
      <c r="E21" s="13">
        <f>Trans_DC</f>
        <v>1370</v>
      </c>
      <c r="F21" s="13">
        <f t="shared" si="1"/>
        <v>685</v>
      </c>
      <c r="G21" s="14">
        <f t="shared" si="2"/>
        <v>102.75</v>
      </c>
      <c r="H21" s="15">
        <f t="shared" si="3"/>
        <v>787.75</v>
      </c>
    </row>
    <row r="22" spans="2:16" ht="15" x14ac:dyDescent="0.55000000000000004">
      <c r="B22" s="11" t="s">
        <v>70</v>
      </c>
      <c r="C22" s="12">
        <f>IF(C14="no",0,(D15-C15)*NonRes_CIGR)</f>
        <v>2.5</v>
      </c>
      <c r="D22" s="12">
        <v>0</v>
      </c>
      <c r="E22" s="13">
        <f>CI_DC</f>
        <v>280</v>
      </c>
      <c r="F22" s="13">
        <f t="shared" si="1"/>
        <v>700</v>
      </c>
      <c r="G22" s="14">
        <f t="shared" si="2"/>
        <v>105</v>
      </c>
      <c r="H22" s="15">
        <f t="shared" si="3"/>
        <v>805</v>
      </c>
    </row>
    <row r="23" spans="2:16" ht="15" x14ac:dyDescent="0.55000000000000004">
      <c r="B23" s="11" t="s">
        <v>71</v>
      </c>
      <c r="C23" s="12">
        <f>IF(C14="no",0,(D15-C15)*NonRes_CIGR)</f>
        <v>2.5</v>
      </c>
      <c r="D23" s="12">
        <v>0</v>
      </c>
      <c r="E23" s="13">
        <f>GR_DC</f>
        <v>1160</v>
      </c>
      <c r="F23" s="13">
        <f t="shared" si="1"/>
        <v>2900</v>
      </c>
      <c r="G23" s="14">
        <f t="shared" si="2"/>
        <v>435</v>
      </c>
      <c r="H23" s="15">
        <f t="shared" si="3"/>
        <v>3335</v>
      </c>
    </row>
    <row r="24" spans="2:16" x14ac:dyDescent="0.55000000000000004">
      <c r="B24" s="122" t="s">
        <v>72</v>
      </c>
      <c r="C24" s="12"/>
      <c r="D24" s="12"/>
      <c r="E24" s="13"/>
      <c r="F24" s="129" t="s">
        <v>43</v>
      </c>
      <c r="G24" s="130"/>
      <c r="H24" s="131"/>
    </row>
    <row r="25" spans="2:16" ht="14.7" thickBot="1" x14ac:dyDescent="0.6">
      <c r="B25" s="123"/>
      <c r="C25" s="12"/>
      <c r="D25" s="12"/>
      <c r="E25" s="13"/>
      <c r="F25" s="132"/>
      <c r="G25" s="133"/>
      <c r="H25" s="134"/>
    </row>
    <row r="26" spans="2:16" ht="15.3" thickBot="1" x14ac:dyDescent="0.6">
      <c r="B26" s="16" t="s">
        <v>13</v>
      </c>
      <c r="C26" s="17"/>
      <c r="D26" s="17"/>
      <c r="E26" s="18">
        <f>SUM(E18:E25)</f>
        <v>13090</v>
      </c>
      <c r="F26" s="18">
        <f>SUM(F18:F25)</f>
        <v>26457.151898734177</v>
      </c>
      <c r="G26" s="19">
        <f>SUM(G18:G25)</f>
        <v>3968.5727848101264</v>
      </c>
      <c r="H26" s="20">
        <f>SUM(H18:H25)</f>
        <v>30425.724683544304</v>
      </c>
    </row>
    <row r="27" spans="2:16" x14ac:dyDescent="0.55000000000000004">
      <c r="B27" s="28" t="s">
        <v>61</v>
      </c>
    </row>
    <row r="30" spans="2:16" x14ac:dyDescent="0.55000000000000004">
      <c r="C30" s="29">
        <f>VLOOKUP(C12,PipeSize_HUD,2,0)</f>
        <v>1</v>
      </c>
    </row>
  </sheetData>
  <mergeCells count="5">
    <mergeCell ref="A1:H1"/>
    <mergeCell ref="L12:P17"/>
    <mergeCell ref="B24:B25"/>
    <mergeCell ref="F24:H25"/>
    <mergeCell ref="C5:H5"/>
  </mergeCells>
  <dataValidations count="4">
    <dataValidation type="list" allowBlank="1" showInputMessage="1" showErrorMessage="1" sqref="C14 C4 C6:C7" xr:uid="{00000000-0002-0000-0300-000001000000}">
      <formula1>$J$4:$K$4</formula1>
    </dataValidation>
    <dataValidation type="whole" operator="greaterThanOrEqual" allowBlank="1" showInputMessage="1" showErrorMessage="1" promptTitle="Must be a whole number" prompt="Exclude decimal points" sqref="C10:D11 C13:D13 C15:D15" xr:uid="{00000000-0002-0000-0300-000003000000}">
      <formula1>0</formula1>
    </dataValidation>
    <dataValidation type="list" allowBlank="1" showInputMessage="1" showErrorMessage="1" sqref="E33" xr:uid="{9E68DCFA-1D28-429A-8987-DD76977429B0}">
      <formula1>$D$32:$D$39</formula1>
    </dataValidation>
    <dataValidation type="list" allowBlank="1" showInputMessage="1" showErrorMessage="1" sqref="C5:H5" xr:uid="{15E16DB2-A9B5-448D-93AF-37A499863C30}">
      <formula1>SW_LID_Names</formula1>
    </dataValidation>
  </dataValidations>
  <hyperlinks>
    <hyperlink ref="L9" location="Sec5.3.2" display="See Section 5.3.2" xr:uid="{00000000-0004-0000-0300-000000000000}"/>
  </hyperlinks>
  <pageMargins left="0.7" right="0.7" top="0.75" bottom="0.75" header="0.3" footer="0.3"/>
  <pageSetup paperSize="9" scale="67"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Title="WS pipe size" prompt="Select pipe size pre-development." xr:uid="{00000000-0002-0000-0300-000000000000}">
          <x14:formula1>
            <xm:f>Tables!$C$10:$C$18</xm:f>
          </x14:formula1>
          <xm:sqref>C12</xm:sqref>
        </x14:dataValidation>
        <x14:dataValidation type="list" allowBlank="1" showInputMessage="1" showErrorMessage="1" promptTitle="WS pipe size" prompt="Select pipe size post development." xr:uid="{B886A2CB-F023-402C-9937-DE75169D0345}">
          <x14:formula1>
            <xm:f>Tables!$C$10:$C$18</xm:f>
          </x14:formula1>
          <xm:sqref>D12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I25"/>
  <sheetViews>
    <sheetView topLeftCell="A7" workbookViewId="0">
      <selection activeCell="C23" sqref="C23"/>
    </sheetView>
  </sheetViews>
  <sheetFormatPr defaultRowHeight="14.4" x14ac:dyDescent="0.55000000000000004"/>
  <cols>
    <col min="2" max="2" width="30" customWidth="1"/>
    <col min="3" max="3" width="11.578125" bestFit="1" customWidth="1"/>
  </cols>
  <sheetData>
    <row r="2" spans="2:9" x14ac:dyDescent="0.55000000000000004">
      <c r="B2" t="s">
        <v>9</v>
      </c>
      <c r="C2" s="23">
        <v>0.15</v>
      </c>
    </row>
    <row r="4" spans="2:9" x14ac:dyDescent="0.55000000000000004">
      <c r="B4" t="s">
        <v>26</v>
      </c>
      <c r="C4">
        <v>20</v>
      </c>
      <c r="D4" t="s">
        <v>27</v>
      </c>
    </row>
    <row r="5" spans="2:9" x14ac:dyDescent="0.55000000000000004">
      <c r="B5" t="s">
        <v>28</v>
      </c>
      <c r="C5">
        <v>2</v>
      </c>
      <c r="D5" t="s">
        <v>31</v>
      </c>
    </row>
    <row r="6" spans="2:9" x14ac:dyDescent="0.55000000000000004">
      <c r="B6" t="s">
        <v>29</v>
      </c>
      <c r="C6">
        <v>316</v>
      </c>
      <c r="D6" t="s">
        <v>32</v>
      </c>
    </row>
    <row r="7" spans="2:9" x14ac:dyDescent="0.55000000000000004">
      <c r="B7" t="s">
        <v>30</v>
      </c>
      <c r="C7">
        <v>4</v>
      </c>
      <c r="D7" t="s">
        <v>33</v>
      </c>
    </row>
    <row r="8" spans="2:9" x14ac:dyDescent="0.55000000000000004">
      <c r="B8" t="s">
        <v>91</v>
      </c>
      <c r="C8">
        <v>0.5</v>
      </c>
      <c r="D8" t="s">
        <v>92</v>
      </c>
    </row>
    <row r="9" spans="2:9" x14ac:dyDescent="0.55000000000000004">
      <c r="C9" t="s">
        <v>35</v>
      </c>
      <c r="D9" t="s">
        <v>36</v>
      </c>
      <c r="I9" t="s">
        <v>68</v>
      </c>
    </row>
    <row r="10" spans="2:9" x14ac:dyDescent="0.55000000000000004">
      <c r="C10">
        <v>0</v>
      </c>
      <c r="D10">
        <v>0</v>
      </c>
      <c r="E10" t="s">
        <v>105</v>
      </c>
    </row>
    <row r="11" spans="2:9" x14ac:dyDescent="0.55000000000000004">
      <c r="C11">
        <v>20</v>
      </c>
      <c r="D11">
        <v>1</v>
      </c>
    </row>
    <row r="12" spans="2:9" x14ac:dyDescent="0.55000000000000004">
      <c r="C12">
        <v>25</v>
      </c>
      <c r="D12">
        <v>1.56</v>
      </c>
    </row>
    <row r="13" spans="2:9" x14ac:dyDescent="0.55000000000000004">
      <c r="C13">
        <v>32</v>
      </c>
      <c r="D13">
        <v>2.56</v>
      </c>
    </row>
    <row r="14" spans="2:9" x14ac:dyDescent="0.55000000000000004">
      <c r="C14">
        <v>40</v>
      </c>
      <c r="D14">
        <v>4</v>
      </c>
    </row>
    <row r="15" spans="2:9" x14ac:dyDescent="0.55000000000000004">
      <c r="C15">
        <v>50</v>
      </c>
      <c r="D15">
        <v>6.25</v>
      </c>
    </row>
    <row r="16" spans="2:9" x14ac:dyDescent="0.55000000000000004">
      <c r="C16">
        <v>100</v>
      </c>
      <c r="D16">
        <v>25</v>
      </c>
    </row>
    <row r="17" spans="2:4" x14ac:dyDescent="0.55000000000000004">
      <c r="C17">
        <v>150</v>
      </c>
      <c r="D17">
        <v>56.25</v>
      </c>
    </row>
    <row r="18" spans="2:4" ht="14.7" thickBot="1" x14ac:dyDescent="0.6"/>
    <row r="19" spans="2:4" x14ac:dyDescent="0.55000000000000004">
      <c r="B19" s="6" t="s">
        <v>49</v>
      </c>
      <c r="C19" s="24">
        <v>3230</v>
      </c>
    </row>
    <row r="20" spans="2:4" x14ac:dyDescent="0.55000000000000004">
      <c r="B20" s="11" t="s">
        <v>50</v>
      </c>
      <c r="C20" s="25">
        <v>5000</v>
      </c>
    </row>
    <row r="21" spans="2:4" x14ac:dyDescent="0.55000000000000004">
      <c r="B21" s="11" t="s">
        <v>51</v>
      </c>
      <c r="C21" s="25">
        <v>2050</v>
      </c>
    </row>
    <row r="22" spans="2:4" x14ac:dyDescent="0.55000000000000004">
      <c r="B22" s="11" t="s">
        <v>52</v>
      </c>
      <c r="C22" s="25">
        <v>1370</v>
      </c>
    </row>
    <row r="23" spans="2:4" x14ac:dyDescent="0.55000000000000004">
      <c r="B23" s="11" t="s">
        <v>73</v>
      </c>
      <c r="C23" s="25">
        <v>280</v>
      </c>
    </row>
    <row r="24" spans="2:4" x14ac:dyDescent="0.55000000000000004">
      <c r="B24" s="11" t="s">
        <v>74</v>
      </c>
      <c r="C24" s="25">
        <v>1160</v>
      </c>
    </row>
    <row r="25" spans="2:4" ht="14.7" thickBot="1" x14ac:dyDescent="0.6">
      <c r="B25" s="27" t="s">
        <v>53</v>
      </c>
      <c r="C25" s="26">
        <f>SUM(C19:C24)</f>
        <v>13090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J40"/>
  <sheetViews>
    <sheetView showGridLines="0" zoomScale="80" zoomScaleNormal="80" workbookViewId="0">
      <selection activeCell="B2" sqref="B2"/>
    </sheetView>
  </sheetViews>
  <sheetFormatPr defaultRowHeight="14.4" outlineLevelCol="1" x14ac:dyDescent="0.55000000000000004"/>
  <cols>
    <col min="2" max="2" width="205.83984375" customWidth="1"/>
    <col min="3" max="8" width="0" hidden="1" customWidth="1" outlineLevel="1"/>
    <col min="9" max="9" width="8.83984375" collapsed="1"/>
  </cols>
  <sheetData>
    <row r="1" spans="2:10" ht="5.25" customHeight="1" x14ac:dyDescent="0.55000000000000004"/>
    <row r="2" spans="2:10" x14ac:dyDescent="0.55000000000000004">
      <c r="B2" s="21" t="s">
        <v>98</v>
      </c>
      <c r="J2" s="21" t="s">
        <v>144</v>
      </c>
    </row>
    <row r="3" spans="2:10" ht="57.6" x14ac:dyDescent="0.55000000000000004">
      <c r="B3" s="60" t="s">
        <v>97</v>
      </c>
    </row>
    <row r="4" spans="2:10" x14ac:dyDescent="0.55000000000000004">
      <c r="B4" s="103" t="s">
        <v>143</v>
      </c>
    </row>
    <row r="5" spans="2:10" x14ac:dyDescent="0.55000000000000004">
      <c r="B5" s="60"/>
    </row>
    <row r="6" spans="2:10" x14ac:dyDescent="0.55000000000000004">
      <c r="B6" s="60"/>
    </row>
    <row r="7" spans="2:10" x14ac:dyDescent="0.55000000000000004">
      <c r="B7" s="60"/>
    </row>
    <row r="8" spans="2:10" x14ac:dyDescent="0.55000000000000004">
      <c r="B8" s="60"/>
    </row>
    <row r="9" spans="2:10" x14ac:dyDescent="0.55000000000000004">
      <c r="B9" s="60"/>
    </row>
    <row r="10" spans="2:10" x14ac:dyDescent="0.55000000000000004">
      <c r="B10" s="60"/>
    </row>
    <row r="11" spans="2:10" x14ac:dyDescent="0.55000000000000004">
      <c r="B11" s="60"/>
    </row>
    <row r="12" spans="2:10" x14ac:dyDescent="0.55000000000000004">
      <c r="B12" s="60"/>
    </row>
    <row r="13" spans="2:10" x14ac:dyDescent="0.55000000000000004">
      <c r="B13" s="60"/>
    </row>
    <row r="14" spans="2:10" x14ac:dyDescent="0.55000000000000004">
      <c r="B14" s="60"/>
    </row>
    <row r="15" spans="2:10" x14ac:dyDescent="0.55000000000000004">
      <c r="B15" s="60"/>
    </row>
    <row r="16" spans="2:10" x14ac:dyDescent="0.55000000000000004">
      <c r="B16" s="60"/>
    </row>
    <row r="17" spans="2:6" x14ac:dyDescent="0.55000000000000004">
      <c r="B17" s="60"/>
    </row>
    <row r="18" spans="2:6" x14ac:dyDescent="0.55000000000000004">
      <c r="B18" s="60"/>
    </row>
    <row r="19" spans="2:6" x14ac:dyDescent="0.55000000000000004">
      <c r="B19" s="21" t="s">
        <v>139</v>
      </c>
    </row>
    <row r="20" spans="2:6" x14ac:dyDescent="0.55000000000000004">
      <c r="B20" s="22" t="s">
        <v>55</v>
      </c>
    </row>
    <row r="21" spans="2:6" ht="16.5" x14ac:dyDescent="0.55000000000000004">
      <c r="B21" s="22" t="s">
        <v>59</v>
      </c>
      <c r="F21" t="s">
        <v>68</v>
      </c>
    </row>
    <row r="22" spans="2:6" x14ac:dyDescent="0.55000000000000004">
      <c r="B22" s="22" t="s">
        <v>56</v>
      </c>
    </row>
    <row r="23" spans="2:6" x14ac:dyDescent="0.55000000000000004">
      <c r="B23" s="22" t="s">
        <v>57</v>
      </c>
    </row>
    <row r="24" spans="2:6" x14ac:dyDescent="0.55000000000000004">
      <c r="B24" s="22" t="s">
        <v>58</v>
      </c>
    </row>
    <row r="25" spans="2:6" x14ac:dyDescent="0.55000000000000004">
      <c r="B25" s="22"/>
    </row>
    <row r="26" spans="2:6" ht="35.25" customHeight="1" x14ac:dyDescent="0.55000000000000004">
      <c r="B26" s="22"/>
    </row>
    <row r="27" spans="2:6" ht="72" x14ac:dyDescent="0.55000000000000004">
      <c r="B27" s="22" t="s">
        <v>94</v>
      </c>
    </row>
    <row r="28" spans="2:6" x14ac:dyDescent="0.55000000000000004">
      <c r="B28" s="22" t="s">
        <v>95</v>
      </c>
    </row>
    <row r="29" spans="2:6" x14ac:dyDescent="0.55000000000000004">
      <c r="B29" s="22" t="s">
        <v>96</v>
      </c>
    </row>
    <row r="31" spans="2:6" x14ac:dyDescent="0.55000000000000004">
      <c r="B31" s="22" t="s">
        <v>115</v>
      </c>
    </row>
    <row r="33" spans="2:3" s="79" customFormat="1" ht="100.8" x14ac:dyDescent="0.55000000000000004">
      <c r="B33" s="78" t="s">
        <v>119</v>
      </c>
    </row>
    <row r="34" spans="2:3" s="79" customFormat="1" x14ac:dyDescent="0.55000000000000004">
      <c r="B34" s="79" t="s">
        <v>118</v>
      </c>
    </row>
    <row r="35" spans="2:3" s="79" customFormat="1" x14ac:dyDescent="0.55000000000000004">
      <c r="B35" s="79" t="s">
        <v>122</v>
      </c>
      <c r="C35" s="79">
        <v>1</v>
      </c>
    </row>
    <row r="36" spans="2:3" s="79" customFormat="1" x14ac:dyDescent="0.55000000000000004">
      <c r="B36" s="79" t="s">
        <v>101</v>
      </c>
      <c r="C36" s="79">
        <v>0.5</v>
      </c>
    </row>
    <row r="37" spans="2:3" s="79" customFormat="1" x14ac:dyDescent="0.55000000000000004">
      <c r="B37" s="78" t="s">
        <v>102</v>
      </c>
      <c r="C37" s="79">
        <v>0.75</v>
      </c>
    </row>
    <row r="38" spans="2:3" s="79" customFormat="1" x14ac:dyDescent="0.55000000000000004">
      <c r="B38" s="78" t="s">
        <v>120</v>
      </c>
      <c r="C38" s="79">
        <v>0.5</v>
      </c>
    </row>
    <row r="39" spans="2:3" s="79" customFormat="1" x14ac:dyDescent="0.55000000000000004"/>
    <row r="40" spans="2:3" s="79" customFormat="1" ht="100.8" x14ac:dyDescent="0.55000000000000004">
      <c r="B40" s="78" t="s">
        <v>121</v>
      </c>
    </row>
  </sheetData>
  <sheetProtection algorithmName="SHA-512" hashValue="Nd3DNDD0iRSHS+UsE2dNxX5oMinCG1MvB07ogPq1dWSTr/EOzLvAP4XL38QufPxeK688CgRSs3+qPGpAZqT6QA==" saltValue="GuaYZ73xknKDPhbQrcF4Sw==" spinCount="100000" sheet="1" objects="1" scenarios="1"/>
  <pageMargins left="0.7" right="0.7" top="0.75" bottom="0.75" header="0.3" footer="0.3"/>
  <pageSetup paperSize="9" scale="5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BD14B-B87D-4A43-81D3-AC88AAD7E793}">
  <sheetPr>
    <tabColor theme="9" tint="0.79998168889431442"/>
    <pageSetUpPr fitToPage="1"/>
  </sheetPr>
  <dimension ref="A1:N39"/>
  <sheetViews>
    <sheetView zoomScale="90" zoomScaleNormal="90" workbookViewId="0">
      <selection activeCell="B8" sqref="B8"/>
    </sheetView>
  </sheetViews>
  <sheetFormatPr defaultColWidth="9.15625" defaultRowHeight="14.4" outlineLevelRow="2" outlineLevelCol="1" x14ac:dyDescent="0.55000000000000004"/>
  <cols>
    <col min="1" max="1" width="5.578125" style="29" customWidth="1"/>
    <col min="2" max="2" width="99.9453125" style="29" customWidth="1"/>
    <col min="3" max="4" width="18.41796875" style="29" customWidth="1"/>
    <col min="5" max="5" width="20.15625" style="29" customWidth="1"/>
    <col min="6" max="8" width="18.41796875" style="29" customWidth="1"/>
    <col min="9" max="9" width="22.1015625" style="29" customWidth="1"/>
    <col min="10" max="11" width="9.15625" style="29" hidden="1" customWidth="1" outlineLevel="1"/>
    <col min="12" max="12" width="9.15625" style="29" collapsed="1"/>
    <col min="13" max="13" width="9.15625" style="29"/>
    <col min="14" max="14" width="9.62890625" style="29" bestFit="1" customWidth="1"/>
    <col min="15" max="16384" width="9.15625" style="29"/>
  </cols>
  <sheetData>
    <row r="1" spans="1:11" ht="26.5" customHeight="1" x14ac:dyDescent="0.55000000000000004">
      <c r="A1" s="120" t="s">
        <v>112</v>
      </c>
      <c r="B1" s="120"/>
      <c r="C1" s="120"/>
      <c r="D1" s="120"/>
      <c r="E1" s="120"/>
      <c r="F1" s="120"/>
      <c r="G1" s="120"/>
      <c r="H1" s="120"/>
    </row>
    <row r="2" spans="1:11" x14ac:dyDescent="0.55000000000000004">
      <c r="A2" s="30" t="s">
        <v>128</v>
      </c>
      <c r="B2" s="31"/>
      <c r="C2" s="31"/>
      <c r="D2" s="31"/>
      <c r="E2" s="31"/>
      <c r="F2" s="31"/>
      <c r="G2" s="31"/>
      <c r="H2" s="31"/>
    </row>
    <row r="3" spans="1:11" x14ac:dyDescent="0.55000000000000004">
      <c r="B3" s="4" t="s">
        <v>21</v>
      </c>
    </row>
    <row r="4" spans="1:11" s="2" customFormat="1" ht="17.100000000000001" customHeight="1" x14ac:dyDescent="0.4">
      <c r="A4" s="121"/>
      <c r="B4" s="121"/>
      <c r="C4" s="121"/>
      <c r="D4" s="121"/>
      <c r="E4" s="121"/>
      <c r="F4" s="121"/>
      <c r="G4" s="121"/>
      <c r="H4" s="121"/>
      <c r="I4" s="5"/>
    </row>
    <row r="5" spans="1:11" outlineLevel="1" x14ac:dyDescent="0.55000000000000004">
      <c r="B5" s="92" t="s">
        <v>7</v>
      </c>
      <c r="C5" s="3"/>
      <c r="D5" s="146" t="str">
        <f>IF(C5="","please enter Yes or No - see Section 9.1, Map 2 in Policy on DCs","")</f>
        <v>please enter Yes or No - see Section 9.1, Map 2 in Policy on DCs</v>
      </c>
      <c r="E5" s="146"/>
      <c r="F5" s="29" t="s">
        <v>117</v>
      </c>
      <c r="G5" s="39"/>
      <c r="H5" s="147" t="str">
        <f>IF(C5="yes","please enter number of HUDs that receive the central city exemption","")</f>
        <v/>
      </c>
      <c r="J5" s="29" t="s">
        <v>0</v>
      </c>
      <c r="K5" s="29" t="s">
        <v>1</v>
      </c>
    </row>
    <row r="6" spans="1:11" ht="6.75" customHeight="1" outlineLevel="1" x14ac:dyDescent="0.55000000000000004">
      <c r="B6" s="2"/>
      <c r="D6" s="146"/>
      <c r="E6" s="146"/>
      <c r="H6" s="147"/>
    </row>
    <row r="7" spans="1:11" outlineLevel="1" collapsed="1" x14ac:dyDescent="0.55000000000000004">
      <c r="B7" s="92" t="s">
        <v>4</v>
      </c>
      <c r="C7" s="3" t="s">
        <v>0</v>
      </c>
      <c r="D7" s="32" t="str">
        <f>IF(C7="","please enter Yes or No","")</f>
        <v/>
      </c>
      <c r="H7" s="147"/>
    </row>
    <row r="8" spans="1:11" ht="14.4" customHeight="1" outlineLevel="2" x14ac:dyDescent="0.55000000000000004">
      <c r="B8" s="93" t="s">
        <v>103</v>
      </c>
      <c r="C8" s="135"/>
      <c r="D8" s="136"/>
      <c r="E8" s="136"/>
      <c r="F8" s="136"/>
      <c r="G8" s="136"/>
      <c r="H8" s="136"/>
      <c r="I8" s="70" t="str">
        <f>IF(C8="","please if SW LID applies","")</f>
        <v>please if SW LID applies</v>
      </c>
    </row>
    <row r="9" spans="1:11" outlineLevel="1" x14ac:dyDescent="0.55000000000000004">
      <c r="B9" s="92" t="s">
        <v>3</v>
      </c>
      <c r="C9" s="3" t="s">
        <v>0</v>
      </c>
      <c r="D9" s="32" t="str">
        <f t="shared" ref="D9:D11" si="0">IF(C9="","please enter Yes or No","")</f>
        <v/>
      </c>
    </row>
    <row r="10" spans="1:11" outlineLevel="1" x14ac:dyDescent="0.55000000000000004">
      <c r="B10" s="92" t="s">
        <v>2</v>
      </c>
      <c r="C10" s="3" t="s">
        <v>0</v>
      </c>
      <c r="D10" s="32" t="str">
        <f t="shared" si="0"/>
        <v/>
      </c>
    </row>
    <row r="11" spans="1:11" outlineLevel="1" x14ac:dyDescent="0.55000000000000004">
      <c r="B11" s="92" t="s">
        <v>113</v>
      </c>
      <c r="C11" s="3"/>
      <c r="D11" s="32" t="str">
        <f t="shared" si="0"/>
        <v>please enter Yes or No</v>
      </c>
      <c r="E11" s="29" t="s">
        <v>108</v>
      </c>
      <c r="F11" s="39"/>
      <c r="G11" s="32" t="str">
        <f>IF(C11="yes","please enter number of lots that receive Brownfield exemption","")</f>
        <v/>
      </c>
    </row>
    <row r="12" spans="1:11" ht="16.899999999999999" customHeight="1" outlineLevel="1" x14ac:dyDescent="0.55000000000000004">
      <c r="D12" s="33"/>
      <c r="G12" s="59"/>
    </row>
    <row r="13" spans="1:11" ht="16.899999999999999" customHeight="1" x14ac:dyDescent="0.55000000000000004">
      <c r="B13" s="2" t="s">
        <v>141</v>
      </c>
      <c r="C13" s="94">
        <f>+'Res Sub'!C13</f>
        <v>0</v>
      </c>
      <c r="D13" s="146" t="s">
        <v>134</v>
      </c>
      <c r="G13" s="59"/>
    </row>
    <row r="14" spans="1:11" ht="14.4" customHeight="1" x14ac:dyDescent="0.55000000000000004">
      <c r="B14" s="2" t="s">
        <v>142</v>
      </c>
      <c r="C14" s="94">
        <f>+'Res Sub'!C14</f>
        <v>0</v>
      </c>
      <c r="D14" s="146"/>
    </row>
    <row r="15" spans="1:11" x14ac:dyDescent="0.55000000000000004">
      <c r="B15" s="2" t="s">
        <v>146</v>
      </c>
      <c r="C15" s="95">
        <f>+'Res Sub'!C15</f>
        <v>0</v>
      </c>
      <c r="D15" s="146"/>
      <c r="E15" s="66"/>
      <c r="F15" s="66"/>
    </row>
    <row r="16" spans="1:11" ht="14.7" x14ac:dyDescent="0.55000000000000004">
      <c r="B16" s="2" t="s">
        <v>140</v>
      </c>
      <c r="C16" s="96">
        <f>+'Res Sub'!C16</f>
        <v>0</v>
      </c>
      <c r="D16" s="146"/>
      <c r="F16" s="73"/>
    </row>
    <row r="17" spans="1:14" x14ac:dyDescent="0.55000000000000004">
      <c r="B17" s="2" t="s">
        <v>86</v>
      </c>
      <c r="C17" s="97">
        <f>+'Res Sub'!C17</f>
        <v>0</v>
      </c>
      <c r="D17" s="146"/>
      <c r="F17" s="66"/>
    </row>
    <row r="18" spans="1:14" customFormat="1" x14ac:dyDescent="0.55000000000000004">
      <c r="A18" s="29"/>
      <c r="B18" s="29"/>
      <c r="C18" s="29"/>
      <c r="D18" s="29"/>
      <c r="E18" s="29"/>
      <c r="F18" s="74"/>
      <c r="G18" s="29"/>
      <c r="H18" s="29"/>
      <c r="I18" s="29"/>
      <c r="J18" s="29"/>
      <c r="K18" s="29"/>
      <c r="L18" s="29"/>
      <c r="M18" s="29"/>
      <c r="N18" s="29"/>
    </row>
    <row r="19" spans="1:14" ht="14.7" hidden="1" outlineLevel="1" x14ac:dyDescent="0.55000000000000004">
      <c r="B19" s="2" t="s">
        <v>75</v>
      </c>
      <c r="C19" s="85" t="e">
        <f>+C15/C16</f>
        <v>#DIV/0!</v>
      </c>
      <c r="D19" s="32" t="s">
        <v>79</v>
      </c>
      <c r="E19" s="29" t="s">
        <v>123</v>
      </c>
      <c r="F19" s="86">
        <f>IF(AND(C$5="yes",G5&gt;0)=TRUE,$G$5,0)</f>
        <v>0</v>
      </c>
      <c r="G19" s="80" t="s">
        <v>36</v>
      </c>
    </row>
    <row r="20" spans="1:14" ht="14.7" hidden="1" outlineLevel="1" x14ac:dyDescent="0.55000000000000004">
      <c r="B20" s="2" t="s">
        <v>80</v>
      </c>
      <c r="C20" s="86">
        <v>40</v>
      </c>
      <c r="D20" s="32" t="s">
        <v>82</v>
      </c>
      <c r="E20" s="29" t="s">
        <v>124</v>
      </c>
      <c r="F20" s="86">
        <f>+IF(C11="yes",0.25*(MIN((C14-C13),F11)-F19),0)</f>
        <v>0</v>
      </c>
      <c r="G20" s="80" t="s">
        <v>36</v>
      </c>
    </row>
    <row r="21" spans="1:14" hidden="1" outlineLevel="1" x14ac:dyDescent="0.55000000000000004">
      <c r="B21" s="2" t="s">
        <v>83</v>
      </c>
      <c r="C21" s="85" t="e">
        <f>(C14-C13)*C20*C19</f>
        <v>#DIV/0!</v>
      </c>
      <c r="D21" s="32"/>
    </row>
    <row r="22" spans="1:14" hidden="1" outlineLevel="1" x14ac:dyDescent="0.55000000000000004">
      <c r="B22" s="38" t="s">
        <v>76</v>
      </c>
      <c r="C22" s="85">
        <f>+C15*7.5%</f>
        <v>0</v>
      </c>
      <c r="D22" s="32"/>
    </row>
    <row r="23" spans="1:14" ht="14.7" hidden="1" outlineLevel="1" x14ac:dyDescent="0.55000000000000004">
      <c r="B23" s="38" t="s">
        <v>78</v>
      </c>
      <c r="C23" s="98" t="e">
        <f>(C14-C13)*20*C19</f>
        <v>#DIV/0!</v>
      </c>
      <c r="D23" s="32"/>
    </row>
    <row r="24" spans="1:14" hidden="1" outlineLevel="1" x14ac:dyDescent="0.55000000000000004">
      <c r="B24" s="2" t="s">
        <v>77</v>
      </c>
      <c r="C24" s="85" t="e">
        <f>MAX(C22:C23)</f>
        <v>#DIV/0!</v>
      </c>
      <c r="D24" s="32"/>
    </row>
    <row r="25" spans="1:14" hidden="1" outlineLevel="1" x14ac:dyDescent="0.55000000000000004">
      <c r="B25" s="2" t="s">
        <v>84</v>
      </c>
      <c r="C25" s="98" t="e">
        <f>C24-E34*(C14-C13)</f>
        <v>#DIV/0!</v>
      </c>
      <c r="D25" s="32"/>
    </row>
    <row r="26" spans="1:14" ht="14.7" hidden="1" outlineLevel="1" x14ac:dyDescent="0.55000000000000004">
      <c r="B26" s="2" t="s">
        <v>85</v>
      </c>
      <c r="C26" s="99" t="e">
        <f>IF(C35&lt;D35,0,IFERROR((C35-D35)*IF(C21&gt;C25,C25,C21)/(C14-C13),0))/C19</f>
        <v>#DIV/0!</v>
      </c>
      <c r="D26" s="32" t="s">
        <v>81</v>
      </c>
    </row>
    <row r="27" spans="1:14" ht="14.7" collapsed="1" thickBot="1" x14ac:dyDescent="0.6">
      <c r="B27" s="2"/>
    </row>
    <row r="28" spans="1:14" ht="37.200000000000003" thickBot="1" x14ac:dyDescent="0.6">
      <c r="B28" s="56" t="s">
        <v>8</v>
      </c>
      <c r="C28" s="57" t="s">
        <v>16</v>
      </c>
      <c r="D28" s="57" t="s">
        <v>107</v>
      </c>
      <c r="E28" s="57" t="s">
        <v>15</v>
      </c>
      <c r="F28" s="57" t="s">
        <v>24</v>
      </c>
      <c r="G28" s="57" t="s">
        <v>9</v>
      </c>
      <c r="H28" s="57" t="s">
        <v>25</v>
      </c>
    </row>
    <row r="29" spans="1:14" ht="15" x14ac:dyDescent="0.55000000000000004">
      <c r="B29" s="6" t="s">
        <v>12</v>
      </c>
      <c r="C29" s="12">
        <f>IF(C7="yes",C14-C13,0)</f>
        <v>0</v>
      </c>
      <c r="D29" s="7">
        <f>IFERROR(IF(C$5="yes",MIN(C$29,$G$5),0)+(1-VLOOKUP(C8,SW_LID,2,0))*(C14-C13),0)</f>
        <v>0</v>
      </c>
      <c r="E29" s="8">
        <f>SW_DC</f>
        <v>3230</v>
      </c>
      <c r="F29" s="8">
        <f t="shared" ref="F29:F34" si="1">IF(C29&lt;D29,0,(C29-D29)*E29)</f>
        <v>0</v>
      </c>
      <c r="G29" s="9">
        <f>F29*GST</f>
        <v>0</v>
      </c>
      <c r="H29" s="10">
        <f>F29+G29</f>
        <v>0</v>
      </c>
    </row>
    <row r="30" spans="1:14" ht="15" x14ac:dyDescent="0.55000000000000004">
      <c r="B30" s="11" t="s">
        <v>11</v>
      </c>
      <c r="C30" s="12">
        <f>IF(C9="yes",C14-C13,0)</f>
        <v>0</v>
      </c>
      <c r="D30" s="12">
        <f>IF(C$5="yes",MIN(C$30,$G$5),0)</f>
        <v>0</v>
      </c>
      <c r="E30" s="13">
        <f>WW_DC</f>
        <v>5000</v>
      </c>
      <c r="F30" s="13">
        <f t="shared" si="1"/>
        <v>0</v>
      </c>
      <c r="G30" s="14">
        <f>F30*GST</f>
        <v>0</v>
      </c>
      <c r="H30" s="15">
        <f>F30+G30</f>
        <v>0</v>
      </c>
      <c r="J30" s="29" t="s">
        <v>68</v>
      </c>
    </row>
    <row r="31" spans="1:14" ht="15" x14ac:dyDescent="0.55000000000000004">
      <c r="B31" s="11" t="s">
        <v>10</v>
      </c>
      <c r="C31" s="12">
        <f>IF(C10="yes",C14-C13,0)</f>
        <v>0</v>
      </c>
      <c r="D31" s="12">
        <f>IF(C$5="yes",MIN(C$31,$G$5),0)</f>
        <v>0</v>
      </c>
      <c r="E31" s="13">
        <f>WS_DC</f>
        <v>2050</v>
      </c>
      <c r="F31" s="13">
        <f t="shared" si="1"/>
        <v>0</v>
      </c>
      <c r="G31" s="14">
        <f t="shared" ref="G31:G35" si="2">F31*GST</f>
        <v>0</v>
      </c>
      <c r="H31" s="15">
        <f t="shared" ref="H31:H35" si="3">F31+G31</f>
        <v>0</v>
      </c>
    </row>
    <row r="32" spans="1:14" ht="15" x14ac:dyDescent="0.55000000000000004">
      <c r="B32" s="11" t="s">
        <v>14</v>
      </c>
      <c r="C32" s="12">
        <f>+$C$14-C13</f>
        <v>0</v>
      </c>
      <c r="D32" s="12">
        <f>IF(C$5="yes",MIN(C$32,$G$5),0)</f>
        <v>0</v>
      </c>
      <c r="E32" s="13">
        <f>Trans_DC</f>
        <v>1370</v>
      </c>
      <c r="F32" s="13">
        <f t="shared" si="1"/>
        <v>0</v>
      </c>
      <c r="G32" s="14">
        <f t="shared" si="2"/>
        <v>0</v>
      </c>
      <c r="H32" s="15">
        <f t="shared" si="3"/>
        <v>0</v>
      </c>
    </row>
    <row r="33" spans="2:14" ht="15" x14ac:dyDescent="0.55000000000000004">
      <c r="B33" s="11" t="s">
        <v>70</v>
      </c>
      <c r="C33" s="12">
        <f>+$C$14-C13</f>
        <v>0</v>
      </c>
      <c r="D33" s="12">
        <f>IF(C$5="yes",MIN(C$33,$G$5),0)</f>
        <v>0</v>
      </c>
      <c r="E33" s="13">
        <f>CI_DC</f>
        <v>280</v>
      </c>
      <c r="F33" s="13">
        <f t="shared" si="1"/>
        <v>0</v>
      </c>
      <c r="G33" s="14">
        <f t="shared" si="2"/>
        <v>0</v>
      </c>
      <c r="H33" s="15">
        <f t="shared" si="3"/>
        <v>0</v>
      </c>
    </row>
    <row r="34" spans="2:14" ht="15" x14ac:dyDescent="0.55000000000000004">
      <c r="B34" s="11" t="s">
        <v>71</v>
      </c>
      <c r="C34" s="12">
        <f>+$C$14-C13</f>
        <v>0</v>
      </c>
      <c r="D34" s="12">
        <f>D35</f>
        <v>0</v>
      </c>
      <c r="E34" s="13">
        <f>GR_DC</f>
        <v>1160</v>
      </c>
      <c r="F34" s="13">
        <f t="shared" si="1"/>
        <v>0</v>
      </c>
      <c r="G34" s="14">
        <f t="shared" si="2"/>
        <v>0</v>
      </c>
      <c r="H34" s="15">
        <f t="shared" si="3"/>
        <v>0</v>
      </c>
      <c r="L34" s="66"/>
    </row>
    <row r="35" spans="2:14" ht="15" x14ac:dyDescent="0.55000000000000004">
      <c r="B35" s="122" t="s">
        <v>72</v>
      </c>
      <c r="C35" s="12">
        <f>+$C$14-C13</f>
        <v>0</v>
      </c>
      <c r="D35" s="12">
        <f>F19+F20</f>
        <v>0</v>
      </c>
      <c r="E35" s="13" t="str">
        <f>IF(C35-D35&lt;=0,"",IF(C17="cash",IF(C21&gt;C25,C25,C21)/(C14-C13),"n/a - provided as land"))</f>
        <v/>
      </c>
      <c r="F35" s="13">
        <f>IF(C35&lt;D35,0,IFERROR((C35-D35)*E35,0))</f>
        <v>0</v>
      </c>
      <c r="G35" s="14">
        <f t="shared" si="2"/>
        <v>0</v>
      </c>
      <c r="H35" s="15">
        <f t="shared" si="3"/>
        <v>0</v>
      </c>
      <c r="I35" s="29" t="s">
        <v>88</v>
      </c>
      <c r="N35" s="66"/>
    </row>
    <row r="36" spans="2:14" ht="14.7" thickBot="1" x14ac:dyDescent="0.6">
      <c r="B36" s="123"/>
      <c r="C36" s="12"/>
      <c r="D36" s="12"/>
      <c r="E36" s="13"/>
      <c r="F36" s="124" t="str">
        <f>IF(C35-D35&lt;=0,"",IF(C17="Land",ROUND(C26,0)&amp;" m2 of suitable neighbourhood reserve land","n/a - paid in cash"))</f>
        <v/>
      </c>
      <c r="G36" s="125"/>
      <c r="H36" s="126"/>
      <c r="I36" s="29" t="s">
        <v>87</v>
      </c>
    </row>
    <row r="37" spans="2:14" ht="15.3" thickBot="1" x14ac:dyDescent="0.6">
      <c r="B37" s="16" t="s">
        <v>13</v>
      </c>
      <c r="C37" s="17"/>
      <c r="D37" s="17"/>
      <c r="E37" s="18">
        <f>SUM(E29:E36)</f>
        <v>13090</v>
      </c>
      <c r="F37" s="18">
        <f>SUM(F29:F36)</f>
        <v>0</v>
      </c>
      <c r="G37" s="19">
        <f>SUM(G29:G36)</f>
        <v>0</v>
      </c>
      <c r="H37" s="20">
        <f>SUM(H29:H36)</f>
        <v>0</v>
      </c>
    </row>
    <row r="38" spans="2:14" x14ac:dyDescent="0.55000000000000004">
      <c r="B38" s="2" t="str">
        <f>IFERROR(IF(F35+F34=C22,"Note : 7.5% cap applies",IF(F35+F34=C23,"Note : 20m2 cap applies","")),"")</f>
        <v>Note : 7.5% cap applies</v>
      </c>
    </row>
    <row r="39" spans="2:14" x14ac:dyDescent="0.55000000000000004">
      <c r="F39" s="74"/>
    </row>
  </sheetData>
  <sheetProtection algorithmName="SHA-512" hashValue="ZpCKQFdWuNKswCk9mUjIdOVOdch0+5TwRjzjjo2KqqnJetZh4nl86VribI6nw315Re9qbm6F3c99que49xO+Yg==" saltValue="/E2nO7W9JFtsZ7In7W9Atw==" spinCount="100000" sheet="1" objects="1" scenarios="1"/>
  <dataConsolidate/>
  <mergeCells count="8">
    <mergeCell ref="A1:H1"/>
    <mergeCell ref="A4:H4"/>
    <mergeCell ref="C8:H8"/>
    <mergeCell ref="B35:B36"/>
    <mergeCell ref="F36:H36"/>
    <mergeCell ref="D5:E6"/>
    <mergeCell ref="H5:H7"/>
    <mergeCell ref="D13:D17"/>
  </mergeCells>
  <dataValidations count="7">
    <dataValidation type="list" allowBlank="1" showInputMessage="1" showErrorMessage="1" sqref="C8:H8" xr:uid="{3AC44890-95A2-4F93-96AE-8DCBCB1F320E}">
      <formula1>SW_LID_Names</formula1>
    </dataValidation>
    <dataValidation type="whole" allowBlank="1" showInputMessage="1" showErrorMessage="1" promptTitle="Must be a whole number" prompt="Must be no greater than 30 HUDs" sqref="G5" xr:uid="{D3E65997-5679-4258-A610-B8567F89C78B}">
      <formula1>0</formula1>
      <formula2>30</formula2>
    </dataValidation>
    <dataValidation type="whole" operator="lessThanOrEqual" allowBlank="1" showInputMessage="1" showErrorMessage="1" promptTitle="Must be a whole number" prompt="Must be equal or less than Proposed No. of Residential titles" sqref="F11" xr:uid="{F7135BFE-281A-41F7-B31B-10249A7C9E6A}">
      <formula1>C14</formula1>
    </dataValidation>
    <dataValidation type="list" operator="greaterThanOrEqual" allowBlank="1" showInputMessage="1" showErrorMessage="1" promptTitle="Neighbourhood reserves" prompt="Provide as land or cash" sqref="C17" xr:uid="{F3A9DA16-2015-429E-9952-D8DD5819FA3C}">
      <formula1>"Land, Cash"</formula1>
    </dataValidation>
    <dataValidation operator="greaterThanOrEqual" allowBlank="1" showInputMessage="1" showErrorMessage="1" sqref="C19:C26" xr:uid="{DE300CDE-766A-4365-8CA7-40BBB99F707C}"/>
    <dataValidation type="whole" operator="greaterThanOrEqual" allowBlank="1" showInputMessage="1" showErrorMessage="1" promptTitle="Must be a whole number" prompt="Exclude decimal points" sqref="C13:C16" xr:uid="{1FCBFE13-F2CD-4075-A62B-A7A94C9FB74E}">
      <formula1>0</formula1>
    </dataValidation>
    <dataValidation type="list" allowBlank="1" showInputMessage="1" showErrorMessage="1" sqref="C5 C7 C9:C11" xr:uid="{4F8361D2-2596-4B3F-9420-B65847C17B46}">
      <formula1>$J$5:$K$5</formula1>
    </dataValidation>
  </dataValidations>
  <pageMargins left="0.7" right="0.7" top="0.75" bottom="0.75" header="0.3" footer="0.3"/>
  <pageSetup paperSize="9" scale="5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C452EF306951843A403B174F009C5AF" ma:contentTypeVersion="6" ma:contentTypeDescription="Create a new document." ma:contentTypeScope="" ma:versionID="5c6358ba162403ebe01e8895030c1899">
  <xsd:schema xmlns:xsd="http://www.w3.org/2001/XMLSchema" xmlns:xs="http://www.w3.org/2001/XMLSchema" xmlns:p="http://schemas.microsoft.com/office/2006/metadata/properties" xmlns:ns2="54f90807-c9f1-42bd-a7e7-120c60ddba6d" xmlns:ns3="8abb85f1-aaf2-41cb-ab68-0e1d6a533915" targetNamespace="http://schemas.microsoft.com/office/2006/metadata/properties" ma:root="true" ma:fieldsID="6c92ca92c35c4ad8a8e59324d6b1b5b6" ns2:_="" ns3:_="">
    <xsd:import namespace="54f90807-c9f1-42bd-a7e7-120c60ddba6d"/>
    <xsd:import namespace="8abb85f1-aaf2-41cb-ab68-0e1d6a533915"/>
    <xsd:element name="properties">
      <xsd:complexType>
        <xsd:sequence>
          <xsd:element name="documentManagement">
            <xsd:complexType>
              <xsd:all>
                <xsd:element ref="ns2:SharedDocumentAccessGuid" minOccurs="0"/>
                <xsd:element ref="ns2:Archived" minOccurs="0"/>
                <xsd:element ref="ns2:MigratedSourceSystemLocation" minOccurs="0"/>
                <xsd:element ref="ns2:JSONPreview"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f90807-c9f1-42bd-a7e7-120c60ddba6d" elementFormDefault="qualified">
    <xsd:import namespace="http://schemas.microsoft.com/office/2006/documentManagement/types"/>
    <xsd:import namespace="http://schemas.microsoft.com/office/infopath/2007/PartnerControls"/>
    <xsd:element name="SharedDocumentAccessGuid" ma:index="8" nillable="true" ma:displayName="SharedDocumentAccessGuid" ma:hidden="true" ma:internalName="SharedDocumentAccessGuid">
      <xsd:simpleType>
        <xsd:restriction base="dms:Text"/>
      </xsd:simpleType>
    </xsd:element>
    <xsd:element name="Archived" ma:index="9" nillable="true" ma:displayName="Archived" ma:internalName="Archived">
      <xsd:simpleType>
        <xsd:restriction base="dms:Boolean"/>
      </xsd:simpleType>
    </xsd:element>
    <xsd:element name="MigratedSourceSystemLocation" ma:index="10" nillable="true" ma:displayName="MigratedSourceSystemLocation" ma:hidden="true" ma:internalName="MigratedSourceSystemLocation">
      <xsd:simpleType>
        <xsd:restriction base="dms:Text"/>
      </xsd:simpleType>
    </xsd:element>
    <xsd:element name="JSONPreview" ma:index="11" nillable="true" ma:displayName="JSONPreview" ma:hidden="true" ma:internalName="JSONPreview">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abb85f1-aaf2-41cb-ab68-0e1d6a533915"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gratedSourceSystemLocation xmlns="54f90807-c9f1-42bd-a7e7-120c60ddba6d" xsi:nil="true"/>
    <SharedDocumentAccessGuid xmlns="54f90807-c9f1-42bd-a7e7-120c60ddba6d" xsi:nil="true"/>
    <Archived xmlns="54f90807-c9f1-42bd-a7e7-120c60ddba6d" xsi:nil="true"/>
    <JSONPreview xmlns="54f90807-c9f1-42bd-a7e7-120c60ddba6d" xsi:nil="true"/>
  </documentManagement>
</p:properties>
</file>

<file path=customXml/itemProps1.xml><?xml version="1.0" encoding="utf-8"?>
<ds:datastoreItem xmlns:ds="http://schemas.openxmlformats.org/officeDocument/2006/customXml" ds:itemID="{B8409B08-B0AD-4DAD-A88A-F37C78D26825}">
  <ds:schemaRefs>
    <ds:schemaRef ds:uri="http://schemas.microsoft.com/sharepoint/v3/contenttype/forms"/>
  </ds:schemaRefs>
</ds:datastoreItem>
</file>

<file path=customXml/itemProps2.xml><?xml version="1.0" encoding="utf-8"?>
<ds:datastoreItem xmlns:ds="http://schemas.openxmlformats.org/officeDocument/2006/customXml" ds:itemID="{98A6BC88-204B-4C58-A6CF-8423C6838D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f90807-c9f1-42bd-a7e7-120c60ddba6d"/>
    <ds:schemaRef ds:uri="8abb85f1-aaf2-41cb-ab68-0e1d6a5339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8C730B-9316-4068-9AB2-3327BBF47C92}">
  <ds:schemaRefs>
    <ds:schemaRef ds:uri="http://purl.org/dc/terms/"/>
    <ds:schemaRef ds:uri="http://schemas.microsoft.com/office/2006/metadata/properties"/>
    <ds:schemaRef ds:uri="http://schemas.microsoft.com/office/2006/documentManagement/types"/>
    <ds:schemaRef ds:uri="http://purl.org/dc/elements/1.1/"/>
    <ds:schemaRef ds:uri="http://www.w3.org/XML/1998/namespace"/>
    <ds:schemaRef ds:uri="http://purl.org/dc/dcmitype/"/>
    <ds:schemaRef ds:uri="http://schemas.microsoft.com/office/infopath/2007/PartnerControls"/>
    <ds:schemaRef ds:uri="http://schemas.openxmlformats.org/package/2006/metadata/core-properties"/>
    <ds:schemaRef ds:uri="8abb85f1-aaf2-41cb-ab68-0e1d6a533915"/>
    <ds:schemaRef ds:uri="54f90807-c9f1-42bd-a7e7-120c60ddba6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34</vt:i4>
      </vt:variant>
    </vt:vector>
  </HeadingPairs>
  <TitlesOfParts>
    <vt:vector size="42" baseType="lpstr">
      <vt:lpstr>Flow chart</vt:lpstr>
      <vt:lpstr>Res Sub</vt:lpstr>
      <vt:lpstr>2. NonRes Sub</vt:lpstr>
      <vt:lpstr>Res BC</vt:lpstr>
      <vt:lpstr>4. NonRes BC</vt:lpstr>
      <vt:lpstr>Tables</vt:lpstr>
      <vt:lpstr>Definitions</vt:lpstr>
      <vt:lpstr>Res Sub-exemptions</vt:lpstr>
      <vt:lpstr>CI_DC</vt:lpstr>
      <vt:lpstr>GR_DC</vt:lpstr>
      <vt:lpstr>GST</vt:lpstr>
      <vt:lpstr>NonRes_BC_Calc</vt:lpstr>
      <vt:lpstr>NonRes_CIGR</vt:lpstr>
      <vt:lpstr>NonRes_Sub_Calc</vt:lpstr>
      <vt:lpstr>NonRes_SW</vt:lpstr>
      <vt:lpstr>NonRes_Trans</vt:lpstr>
      <vt:lpstr>NonRes_WS</vt:lpstr>
      <vt:lpstr>NonRes_WW</vt:lpstr>
      <vt:lpstr>Pipe_Size</vt:lpstr>
      <vt:lpstr>PipeSize_HUD</vt:lpstr>
      <vt:lpstr>'2. NonRes Sub'!Print_Area</vt:lpstr>
      <vt:lpstr>'4. NonRes BC'!Print_Area</vt:lpstr>
      <vt:lpstr>Definitions!Print_Area</vt:lpstr>
      <vt:lpstr>'Flow chart'!Print_Area</vt:lpstr>
      <vt:lpstr>'Res BC'!Print_Area</vt:lpstr>
      <vt:lpstr>'Res Sub'!Print_Area</vt:lpstr>
      <vt:lpstr>'Res Sub-exemptions'!Print_Area</vt:lpstr>
      <vt:lpstr>Tables!Print_Area</vt:lpstr>
      <vt:lpstr>Res_BC</vt:lpstr>
      <vt:lpstr>Res_BC_Calc</vt:lpstr>
      <vt:lpstr>'Res Sub-exemptions'!Res_Sub_Calc</vt:lpstr>
      <vt:lpstr>Res_Sub_Calc</vt:lpstr>
      <vt:lpstr>Sec_2.4</vt:lpstr>
      <vt:lpstr>Sec5.3.2</vt:lpstr>
      <vt:lpstr>Subdivision_consent</vt:lpstr>
      <vt:lpstr>SW_DC</vt:lpstr>
      <vt:lpstr>SW_LID</vt:lpstr>
      <vt:lpstr>SW_LID_Names</vt:lpstr>
      <vt:lpstr>Total_DC</vt:lpstr>
      <vt:lpstr>Trans_DC</vt:lpstr>
      <vt:lpstr>WS_DC</vt:lpstr>
      <vt:lpstr>WW_DC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NCC Calculation Tool_V3.xlsx</dc:title>
  <dc:creator>Walter Clarke</dc:creator>
  <cp:lastModifiedBy>Walter Clarke</cp:lastModifiedBy>
  <cp:lastPrinted>2018-05-29T21:11:56Z</cp:lastPrinted>
  <dcterms:created xsi:type="dcterms:W3CDTF">2015-08-19T22:56:05Z</dcterms:created>
  <dcterms:modified xsi:type="dcterms:W3CDTF">2018-06-18T03:43:08Z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0x010100BC452EF306951843A403B174F009C5AF</vt:lpwstr>
  </property>
  <property fmtid="{D5CDD505-2E9C-101B-9397-08002B2CF9AE}" pid="3" name="Objective-Id">
    <vt:lpwstr>A1433317</vt:lpwstr>
  </property>
  <property fmtid="{D5CDD505-2E9C-101B-9397-08002B2CF9AE}" pid="4" name="Objective-Title">
    <vt:lpwstr>Development Financial Contributions flow chart and calculation tool - Final - 24Oct2015</vt:lpwstr>
  </property>
  <property fmtid="{D5CDD505-2E9C-101B-9397-08002B2CF9AE}" pid="5" name="Objective-Comment">
    <vt:lpwstr/>
  </property>
  <property fmtid="{D5CDD505-2E9C-101B-9397-08002B2CF9AE}" pid="6" name="Objective-CreationStamp">
    <vt:filetime>2015-09-23T20:26:45Z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2017-07-12T22:11:18Z</vt:filetime>
  </property>
  <property fmtid="{D5CDD505-2E9C-101B-9397-08002B2CF9AE}" pid="10" name="Objective-ModificationStamp">
    <vt:filetime>2017-07-12T22:11:30Z</vt:filetime>
  </property>
  <property fmtid="{D5CDD505-2E9C-101B-9397-08002B2CF9AE}" pid="11" name="Objective-Owner">
    <vt:lpwstr>Shane Overend</vt:lpwstr>
  </property>
  <property fmtid="{D5CDD505-2E9C-101B-9397-08002B2CF9AE}" pid="12" name="Objective-Path">
    <vt:lpwstr>TARDIS:zOld File Plan:Property Regulation and Monitoring:Resource Management Act  (RMA):Resource Management Act (RMA):</vt:lpwstr>
  </property>
  <property fmtid="{D5CDD505-2E9C-101B-9397-08002B2CF9AE}" pid="13" name="Objective-Parent">
    <vt:lpwstr>Resource Management Act (RMA)</vt:lpwstr>
  </property>
  <property fmtid="{D5CDD505-2E9C-101B-9397-08002B2CF9AE}" pid="14" name="Objective-State">
    <vt:lpwstr>Published</vt:lpwstr>
  </property>
  <property fmtid="{D5CDD505-2E9C-101B-9397-08002B2CF9AE}" pid="15" name="Objective-Version">
    <vt:lpwstr>11.0</vt:lpwstr>
  </property>
  <property fmtid="{D5CDD505-2E9C-101B-9397-08002B2CF9AE}" pid="16" name="Objective-VersionNumber">
    <vt:r8>13</vt:r8>
  </property>
  <property fmtid="{D5CDD505-2E9C-101B-9397-08002B2CF9AE}" pid="17" name="Objective-VersionComment">
    <vt:lpwstr/>
  </property>
  <property fmtid="{D5CDD505-2E9C-101B-9397-08002B2CF9AE}" pid="18" name="Objective-FileNumber">
    <vt:lpwstr>PRO-01(R)</vt:lpwstr>
  </property>
  <property fmtid="{D5CDD505-2E9C-101B-9397-08002B2CF9AE}" pid="19" name="Objective-Classification">
    <vt:lpwstr>[Inherited - Council]</vt:lpwstr>
  </property>
  <property fmtid="{D5CDD505-2E9C-101B-9397-08002B2CF9AE}" pid="20" name="Objective-Caveats">
    <vt:lpwstr/>
  </property>
  <property fmtid="{D5CDD505-2E9C-101B-9397-08002B2CF9AE}" pid="21" name="Objective-Working Sub Type [system]">
    <vt:lpwstr>Adhoc</vt:lpwstr>
  </property>
  <property fmtid="{D5CDD505-2E9C-101B-9397-08002B2CF9AE}" pid="22" name="Objective-Contract Number [system]">
    <vt:lpwstr/>
  </property>
  <property fmtid="{D5CDD505-2E9C-101B-9397-08002B2CF9AE}" pid="23" name="Objective-Project ID [system]">
    <vt:lpwstr/>
  </property>
  <property fmtid="{D5CDD505-2E9C-101B-9397-08002B2CF9AE}" pid="24" name="Objective-Service Request Id [system]">
    <vt:lpwstr/>
  </property>
  <property fmtid="{D5CDD505-2E9C-101B-9397-08002B2CF9AE}" pid="25" name="Objective-Organisation [system]">
    <vt:lpwstr/>
  </property>
  <property fmtid="{D5CDD505-2E9C-101B-9397-08002B2CF9AE}" pid="26" name="Objective-NCS Reference Number [system]">
    <vt:lpwstr/>
  </property>
  <property fmtid="{D5CDD505-2E9C-101B-9397-08002B2CF9AE}" pid="27" name="Objective-NCS System Area [system]">
    <vt:lpwstr/>
  </property>
  <property fmtid="{D5CDD505-2E9C-101B-9397-08002B2CF9AE}" pid="28" name="Objective-PPR Links [system]">
    <vt:lpwstr/>
  </property>
  <property fmtid="{D5CDD505-2E9C-101B-9397-08002B2CF9AE}" pid="29" name="Objective-Review By [system]">
    <vt:filetime>2015-06-29T12:00:00Z</vt:filetime>
  </property>
  <property fmtid="{D5CDD505-2E9C-101B-9397-08002B2CF9AE}" pid="30" name="Objective-Reviewer [system]">
    <vt:lpwstr/>
  </property>
  <property fmtid="{D5CDD505-2E9C-101B-9397-08002B2CF9AE}" pid="31" name="Objective-Department [system]">
    <vt:lpwstr>Roading and Utilities</vt:lpwstr>
  </property>
</Properties>
</file>